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555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<sst xmlns="http://schemas.openxmlformats.org/spreadsheetml/2006/main" count="34" uniqueCount="26">
  <si>
    <t>How The SCurve Function Works</t>
  </si>
  <si>
    <t>TimeBase</t>
  </si>
  <si>
    <t>Total Amount To be disbursed</t>
  </si>
  <si>
    <t>Start Date</t>
  </si>
  <si>
    <t>End Date</t>
  </si>
  <si>
    <t>Skew</t>
  </si>
  <si>
    <t>Peak</t>
  </si>
  <si>
    <t>Amount In</t>
  </si>
  <si>
    <t>Period</t>
  </si>
  <si>
    <t>Instantaneous</t>
  </si>
  <si>
    <t>Annual Rate</t>
  </si>
  <si>
    <t>Using S Curve</t>
  </si>
  <si>
    <t>Average</t>
  </si>
  <si>
    <t>Implied</t>
  </si>
  <si>
    <t>Start of Period</t>
  </si>
  <si>
    <t>In Period</t>
  </si>
  <si>
    <t>Using Formulae From First Principles</t>
  </si>
  <si>
    <t>Time Base</t>
  </si>
  <si>
    <t>Cumulative</t>
  </si>
  <si>
    <t>Amount</t>
  </si>
  <si>
    <t>Dimensionless</t>
  </si>
  <si>
    <t>Time</t>
  </si>
  <si>
    <t>Cumulative Amount</t>
  </si>
  <si>
    <t>Full Amount</t>
  </si>
  <si>
    <t>Start of</t>
  </si>
  <si>
    <t>Instantaneous Annual Rate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</si>
</sst>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#0.00_);\(###0.00\)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0000000"/>
    <numFmt numFmtId="171" formatCode="_(\ #,##0\ &quot;months&quot;_);\(#,##0\ &quot;months&quot;\);"/>
    <numFmt numFmtId="172" formatCode="_(\ ##,##0_);\(#,##0\);"/>
  </numFmts>
  <fonts count="3">
    <font>
      <sz val="8"/>
      <name val="Tahoma"/>
      <family val="0"/>
    </font>
    <font>
      <b/>
      <sz val="8"/>
      <name val="Tahoma"/>
      <family val="2"/>
    </font>
    <font>
      <b/>
      <sz val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2" xfId="0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171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72" fontId="0" fillId="2" borderId="1" xfId="0" applyNumberForma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5" fontId="0" fillId="4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</xdr:row>
      <xdr:rowOff>133350</xdr:rowOff>
    </xdr:from>
    <xdr:to>
      <xdr:col>11</xdr:col>
      <xdr:colOff>638175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67400" y="266700"/>
          <a:ext cx="1933575" cy="361950"/>
        </a:xfrm>
        <a:prstGeom prst="rect">
          <a:avLst/>
        </a:prstGeom>
        <a:noFill/>
        <a:ln w="9525" cmpd="sng">
          <a:solidFill>
            <a:srgbClr val="F49842"/>
          </a:solidFill>
          <a:headEnd type="none"/>
          <a:tailEnd type="none"/>
        </a:ln>
      </xdr:spPr>
    </xdr:pic>
    <xdr:clientData/>
  </xdr:twoCellAnchor>
  <xdr:twoCellAnchor>
    <xdr:from>
      <xdr:col>10</xdr:col>
      <xdr:colOff>57150</xdr:colOff>
      <xdr:row>4</xdr:row>
      <xdr:rowOff>123825</xdr:rowOff>
    </xdr:from>
    <xdr:to>
      <xdr:col>10</xdr:col>
      <xdr:colOff>304800</xdr:colOff>
      <xdr:row>12</xdr:row>
      <xdr:rowOff>9525</xdr:rowOff>
    </xdr:to>
    <xdr:sp>
      <xdr:nvSpPr>
        <xdr:cNvPr id="2" name="Line 3"/>
        <xdr:cNvSpPr>
          <a:spLocks/>
        </xdr:cNvSpPr>
      </xdr:nvSpPr>
      <xdr:spPr>
        <a:xfrm>
          <a:off x="6477000" y="714375"/>
          <a:ext cx="247650" cy="952500"/>
        </a:xfrm>
        <a:prstGeom prst="line">
          <a:avLst/>
        </a:prstGeom>
        <a:noFill/>
        <a:ln w="9525" cmpd="sng">
          <a:solidFill>
            <a:srgbClr val="F49842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 editAs="oneCell">
    <xdr:from>
      <xdr:col>12</xdr:col>
      <xdr:colOff>266700</xdr:colOff>
      <xdr:row>1</xdr:row>
      <xdr:rowOff>114300</xdr:rowOff>
    </xdr:from>
    <xdr:to>
      <xdr:col>17</xdr:col>
      <xdr:colOff>447675</xdr:colOff>
      <xdr:row>4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247650"/>
          <a:ext cx="3038475" cy="390525"/>
        </a:xfrm>
        <a:prstGeom prst="rect">
          <a:avLst/>
        </a:prstGeom>
        <a:noFill/>
        <a:ln w="9525" cmpd="sng">
          <a:solidFill>
            <a:srgbClr val="F49842"/>
          </a:solidFill>
          <a:headEnd type="none"/>
          <a:tailEnd type="none"/>
        </a:ln>
      </xdr:spPr>
    </xdr:pic>
    <xdr:clientData/>
  </xdr:twoCellAnchor>
  <xdr:twoCellAnchor>
    <xdr:from>
      <xdr:col>12</xdr:col>
      <xdr:colOff>419100</xdr:colOff>
      <xdr:row>5</xdr:row>
      <xdr:rowOff>47625</xdr:rowOff>
    </xdr:from>
    <xdr:to>
      <xdr:col>14</xdr:col>
      <xdr:colOff>171450</xdr:colOff>
      <xdr:row>13</xdr:row>
      <xdr:rowOff>28575</xdr:rowOff>
    </xdr:to>
    <xdr:sp>
      <xdr:nvSpPr>
        <xdr:cNvPr id="4" name="Line 5"/>
        <xdr:cNvSpPr>
          <a:spLocks/>
        </xdr:cNvSpPr>
      </xdr:nvSpPr>
      <xdr:spPr>
        <a:xfrm flipH="1">
          <a:off x="8324850" y="771525"/>
          <a:ext cx="1009650" cy="1047750"/>
        </a:xfrm>
        <a:prstGeom prst="line">
          <a:avLst/>
        </a:prstGeom>
        <a:noFill/>
        <a:ln w="9525" cmpd="sng">
          <a:solidFill>
            <a:srgbClr val="F49842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4"/>
  <sheetViews>
    <sheetView showGridLines="0" tabSelected="1" workbookViewId="0" topLeftCell="A1">
      <selection activeCell="E14" sqref="E14"/>
    </sheetView>
  </sheetViews>
  <sheetFormatPr defaultColWidth="9.33203125" defaultRowHeight="10.5"/>
  <cols>
    <col min="2" max="2" width="10.5" style="0" bestFit="1" customWidth="1"/>
    <col min="4" max="4" width="13.33203125" style="0" customWidth="1"/>
    <col min="5" max="5" width="14.66015625" style="0" customWidth="1"/>
    <col min="6" max="6" width="10.5" style="0" bestFit="1" customWidth="1"/>
    <col min="9" max="12" width="13" style="0" customWidth="1"/>
    <col min="13" max="13" width="12.66015625" style="0" customWidth="1"/>
  </cols>
  <sheetData>
    <row r="2" ht="15">
      <c r="B2" s="2" t="s">
        <v>0</v>
      </c>
    </row>
    <row r="4" spans="4:9" ht="10.5">
      <c r="D4" t="s">
        <v>2</v>
      </c>
      <c r="F4" s="11">
        <v>1000</v>
      </c>
      <c r="H4" t="s">
        <v>5</v>
      </c>
      <c r="I4" s="10">
        <v>1</v>
      </c>
    </row>
    <row r="5" spans="4:9" ht="10.5">
      <c r="D5" t="s">
        <v>3</v>
      </c>
      <c r="F5" s="3">
        <v>41091</v>
      </c>
      <c r="H5" t="s">
        <v>6</v>
      </c>
      <c r="I5" s="10">
        <v>1</v>
      </c>
    </row>
    <row r="6" spans="4:6" ht="10.5">
      <c r="D6" t="s">
        <v>4</v>
      </c>
      <c r="F6" s="3">
        <f>_XLL.DPY(F5,10)</f>
        <v>44743</v>
      </c>
    </row>
    <row r="7" spans="4:6" ht="10.5">
      <c r="D7" t="s">
        <v>17</v>
      </c>
      <c r="F7" s="9">
        <v>6</v>
      </c>
    </row>
    <row r="9" spans="4:16" ht="10.5">
      <c r="D9" s="7" t="s">
        <v>11</v>
      </c>
      <c r="E9" s="6"/>
      <c r="F9" s="4" t="s">
        <v>13</v>
      </c>
      <c r="G9" t="s">
        <v>18</v>
      </c>
      <c r="I9" s="4"/>
      <c r="J9" s="7" t="s">
        <v>16</v>
      </c>
      <c r="K9" s="7"/>
      <c r="L9" s="7"/>
      <c r="M9" s="14"/>
      <c r="N9" s="4"/>
      <c r="O9" s="4"/>
      <c r="P9" s="4"/>
    </row>
    <row r="10" spans="4:16" ht="10.5">
      <c r="D10" s="4" t="s">
        <v>7</v>
      </c>
      <c r="E10" s="4" t="s">
        <v>9</v>
      </c>
      <c r="F10" s="4" t="s">
        <v>12</v>
      </c>
      <c r="G10" s="4" t="s">
        <v>19</v>
      </c>
      <c r="H10" s="4"/>
      <c r="I10" s="4"/>
      <c r="J10" s="8" t="s">
        <v>22</v>
      </c>
      <c r="K10" s="8"/>
      <c r="L10" s="4" t="s">
        <v>7</v>
      </c>
      <c r="M10" s="15" t="s">
        <v>25</v>
      </c>
      <c r="N10" s="15"/>
      <c r="O10" s="4"/>
      <c r="P10" s="4"/>
    </row>
    <row r="11" spans="4:16" ht="10.5">
      <c r="D11" s="4" t="s">
        <v>8</v>
      </c>
      <c r="E11" s="4" t="s">
        <v>10</v>
      </c>
      <c r="F11" s="4" t="s">
        <v>10</v>
      </c>
      <c r="G11" s="4" t="s">
        <v>24</v>
      </c>
      <c r="H11" s="4"/>
      <c r="I11" s="4"/>
      <c r="J11" s="4" t="s">
        <v>20</v>
      </c>
      <c r="K11" t="s">
        <v>23</v>
      </c>
      <c r="L11" s="4" t="s">
        <v>8</v>
      </c>
      <c r="M11" s="6" t="s">
        <v>14</v>
      </c>
      <c r="N11" s="6"/>
      <c r="O11" s="4"/>
      <c r="P11" s="4"/>
    </row>
    <row r="12" spans="2:16" ht="10.5">
      <c r="B12" t="s">
        <v>1</v>
      </c>
      <c r="D12" s="4"/>
      <c r="E12" s="4" t="s">
        <v>14</v>
      </c>
      <c r="F12" s="4" t="s">
        <v>15</v>
      </c>
      <c r="G12" s="4" t="s">
        <v>8</v>
      </c>
      <c r="H12" s="4"/>
      <c r="I12" s="4" t="s">
        <v>20</v>
      </c>
      <c r="J12" s="4"/>
      <c r="L12" s="4"/>
      <c r="M12" s="4" t="s">
        <v>20</v>
      </c>
      <c r="N12" t="s">
        <v>23</v>
      </c>
      <c r="O12" s="4"/>
      <c r="P12" s="4"/>
    </row>
    <row r="13" spans="4:16" ht="10.5">
      <c r="D13" s="4"/>
      <c r="E13" s="4"/>
      <c r="F13" s="4"/>
      <c r="G13" s="4"/>
      <c r="H13" s="4"/>
      <c r="I13" s="4" t="s">
        <v>21</v>
      </c>
      <c r="J13" s="4"/>
      <c r="K13" s="4"/>
      <c r="L13" s="4"/>
      <c r="M13" s="4"/>
      <c r="N13" s="4"/>
      <c r="O13" s="4"/>
      <c r="P13" s="4"/>
    </row>
    <row r="14" spans="2:16" ht="10.5">
      <c r="B14" s="1">
        <v>40909</v>
      </c>
      <c r="D14" s="12">
        <f>_XLL.SCURVE($B14,$F$7,$F$5,$F$6,$F$4,$I$4,$I$5)</f>
        <v>0</v>
      </c>
      <c r="E14" s="12">
        <f>_XLL.SCURVE($B14,$F$7,$F$5,$F$6,$F$4,$I$4,$I$5,,,,1)</f>
        <v>33.333333333333336</v>
      </c>
      <c r="F14" s="12">
        <f>D14/($F$7/12)</f>
        <v>0</v>
      </c>
      <c r="G14" s="13">
        <v>0</v>
      </c>
      <c r="H14" s="4"/>
      <c r="I14" s="16">
        <f>MIN(MAX(_XLL.DIFFY($F$5,B14),0)/_XLL.DIFFY($F$5,$F$6),1)</f>
        <v>0</v>
      </c>
      <c r="J14" s="16">
        <f>(1-COS(PI()*I14^$I$4)+$I$5*I14^$I$4)/(2+$I$5)</f>
        <v>0</v>
      </c>
      <c r="K14" s="16">
        <f>J14*$F$4</f>
        <v>0</v>
      </c>
      <c r="L14" s="16">
        <f>K15-K14</f>
        <v>0</v>
      </c>
      <c r="M14" s="16">
        <f aca="true" t="shared" si="0" ref="M14:M38">$I$4*I14^($I$4-1+0.000000001)*($I$5+PI()*SIN(PI()*I14^$I$4))/(2+$I$5)</f>
        <v>0</v>
      </c>
      <c r="N14" s="16">
        <f>M14*$F$4/_XLL.DIFFY($F$5,$F$6)</f>
        <v>0</v>
      </c>
      <c r="O14" s="4"/>
      <c r="P14" s="4"/>
    </row>
    <row r="15" spans="2:16" ht="10.5">
      <c r="B15" s="1">
        <f>_XLL.DPM(B14,$F$7)</f>
        <v>41091</v>
      </c>
      <c r="D15" s="12">
        <f>_XLL.SCURVE($B15,$F$7,$F$5,$F$6,$F$4,$I$4,$I$5)</f>
        <v>20.770553134954078</v>
      </c>
      <c r="E15" s="12">
        <f>_XLL.SCURVE($B15,$F$7,$F$5,$F$6,$F$4,$I$4,$I$5,,,,1)</f>
        <v>33.333333333333336</v>
      </c>
      <c r="F15" s="12">
        <f>D15/($F$7/12)</f>
        <v>41.541106269908155</v>
      </c>
      <c r="G15" s="13">
        <f>G14+D14</f>
        <v>0</v>
      </c>
      <c r="H15" s="4"/>
      <c r="I15" s="16">
        <f>MIN(MAX(_XLL.DIFFY($F$5,B15),0)/_XLL.DIFFY($F$5,$F$6),1)</f>
        <v>0</v>
      </c>
      <c r="J15" s="16">
        <f aca="true" t="shared" si="1" ref="J15:J38">(1-COS(PI()*I15^$I$4)+$I$5*I15^$I$4)/(2+$I$5)</f>
        <v>0</v>
      </c>
      <c r="K15" s="16">
        <f aca="true" t="shared" si="2" ref="K15:K38">J15*$F$4</f>
        <v>0</v>
      </c>
      <c r="L15" s="16">
        <f>K16-K15</f>
        <v>20.770553134954078</v>
      </c>
      <c r="M15" s="16">
        <f t="shared" si="0"/>
        <v>0</v>
      </c>
      <c r="N15" s="16">
        <f>M15*$F$4/_XLL.DIFFY($F$5,$F$6)</f>
        <v>0</v>
      </c>
      <c r="O15" s="4"/>
      <c r="P15" s="4"/>
    </row>
    <row r="16" spans="2:16" ht="10.5">
      <c r="B16" s="1">
        <f>_XLL.DPM(B15,$F$7)</f>
        <v>41275</v>
      </c>
      <c r="D16" s="12">
        <f>_XLL.SCURVE($B16,$F$7,$F$5,$F$6,$F$4,$I$4,$I$5)</f>
        <v>28.87727476666141</v>
      </c>
      <c r="E16" s="12">
        <f>_XLL.SCURVE($B16,$F$7,$F$5,$F$6,$F$4,$I$4,$I$5,,,,1)</f>
        <v>49.715112204621285</v>
      </c>
      <c r="F16" s="12">
        <f>D16/($F$7/12)</f>
        <v>57.75454953332282</v>
      </c>
      <c r="G16" s="13">
        <f aca="true" t="shared" si="3" ref="G16:G38">G15+D15</f>
        <v>20.770553134954078</v>
      </c>
      <c r="H16" s="4"/>
      <c r="I16" s="16">
        <f>MIN(MAX(_XLL.DIFFY($F$5,B16),0)/_XLL.DIFFY($F$5,$F$6),1)</f>
        <v>0.05</v>
      </c>
      <c r="J16" s="16">
        <f t="shared" si="1"/>
        <v>0.020770553134954076</v>
      </c>
      <c r="K16" s="16">
        <f t="shared" si="2"/>
        <v>20.770553134954078</v>
      </c>
      <c r="L16" s="16">
        <f aca="true" t="shared" si="4" ref="L16:L38">K17-K16</f>
        <v>28.877274766661408</v>
      </c>
      <c r="M16" s="16">
        <f t="shared" si="0"/>
        <v>0.4971511205568812</v>
      </c>
      <c r="N16" s="16">
        <f>M16*$F$4/_XLL.DIFFY($F$5,$F$6)</f>
        <v>49.715112055688124</v>
      </c>
      <c r="O16" s="4"/>
      <c r="P16" s="4"/>
    </row>
    <row r="17" spans="2:16" ht="10.5">
      <c r="B17" s="1">
        <f>_XLL.DPM(B16,$F$7)</f>
        <v>41456</v>
      </c>
      <c r="D17" s="12">
        <f>_XLL.SCURVE($B17,$F$7,$F$5,$F$6,$F$4,$I$4,$I$5)</f>
        <v>36.683330702261884</v>
      </c>
      <c r="E17" s="12">
        <f>_XLL.SCURVE($B17,$F$7,$F$5,$F$6,$F$4,$I$4,$I$5,,,,1)</f>
        <v>65.6935173120911</v>
      </c>
      <c r="F17" s="12">
        <f>D17/($F$7/12)</f>
        <v>73.36666140452377</v>
      </c>
      <c r="G17" s="13">
        <f t="shared" si="3"/>
        <v>49.647827901615486</v>
      </c>
      <c r="H17" s="4"/>
      <c r="I17" s="16">
        <f>MIN(MAX(_XLL.DIFFY($F$5,B17),0)/_XLL.DIFFY($F$5,$F$6),1)</f>
        <v>0.1</v>
      </c>
      <c r="J17" s="16">
        <f t="shared" si="1"/>
        <v>0.04964782790161549</v>
      </c>
      <c r="K17" s="16">
        <f t="shared" si="2"/>
        <v>49.647827901615486</v>
      </c>
      <c r="L17" s="16">
        <f t="shared" si="4"/>
        <v>36.683330702261884</v>
      </c>
      <c r="M17" s="16">
        <f t="shared" si="0"/>
        <v>0.656935171608262</v>
      </c>
      <c r="N17" s="16">
        <f>M17*$F$4/_XLL.DIFFY($F$5,$F$6)</f>
        <v>65.69351716082619</v>
      </c>
      <c r="O17" s="4"/>
      <c r="P17" s="4"/>
    </row>
    <row r="18" spans="2:16" ht="10.5">
      <c r="B18" s="1">
        <f>_XLL.DPM(B17,$F$7)</f>
        <v>41640</v>
      </c>
      <c r="D18" s="12">
        <f>_XLL.SCURVE($B18,$F$7,$F$5,$F$6,$F$4,$I$4,$I$5)</f>
        <v>43.99650993780681</v>
      </c>
      <c r="E18" s="12">
        <f>_XLL.SCURVE($B18,$F$7,$F$5,$F$6,$F$4,$I$4,$I$5,,,,1)</f>
        <v>80.87510729271065</v>
      </c>
      <c r="F18" s="12">
        <f>D18/($F$7/12)</f>
        <v>87.99301987561363</v>
      </c>
      <c r="G18" s="13">
        <f t="shared" si="3"/>
        <v>86.33115860387737</v>
      </c>
      <c r="H18" s="4"/>
      <c r="I18" s="16">
        <f>MIN(MAX(_XLL.DIFFY($F$5,B18),0)/_XLL.DIFFY($F$5,$F$6),1)</f>
        <v>0.15</v>
      </c>
      <c r="J18" s="16">
        <f t="shared" si="1"/>
        <v>0.08633115860387737</v>
      </c>
      <c r="K18" s="16">
        <f t="shared" si="2"/>
        <v>86.33115860387737</v>
      </c>
      <c r="L18" s="16">
        <f t="shared" si="4"/>
        <v>43.996509937806806</v>
      </c>
      <c r="M18" s="16">
        <f t="shared" si="0"/>
        <v>0.8087510713928086</v>
      </c>
      <c r="N18" s="16">
        <f>M18*$F$4/_XLL.DIFFY($F$5,$F$6)</f>
        <v>80.87510713928086</v>
      </c>
      <c r="O18" s="4"/>
      <c r="P18" s="4"/>
    </row>
    <row r="19" spans="2:16" ht="10.5">
      <c r="B19" s="1">
        <f>_XLL.DPM(B18,$F$7)</f>
        <v>41821</v>
      </c>
      <c r="D19" s="12">
        <f>_XLL.SCURVE($B19,$F$7,$F$5,$F$6,$F$4,$I$4,$I$5)</f>
        <v>50.63673772946662</v>
      </c>
      <c r="E19" s="12">
        <f>_XLL.SCURVE($B19,$F$7,$F$5,$F$6,$F$4,$I$4,$I$5,,,,1)</f>
        <v>94.88606101634853</v>
      </c>
      <c r="F19" s="12">
        <f>D19/($F$7/12)</f>
        <v>101.27347545893323</v>
      </c>
      <c r="G19" s="13">
        <f t="shared" si="3"/>
        <v>130.32766854168418</v>
      </c>
      <c r="H19" s="4"/>
      <c r="I19" s="16">
        <f>MIN(MAX(_XLL.DIFFY($F$5,B19),0)/_XLL.DIFFY($F$5,$F$6),1)</f>
        <v>0.2</v>
      </c>
      <c r="J19" s="16">
        <f t="shared" si="1"/>
        <v>0.13032766854168418</v>
      </c>
      <c r="K19" s="16">
        <f t="shared" si="2"/>
        <v>130.32766854168418</v>
      </c>
      <c r="L19" s="16">
        <f t="shared" si="4"/>
        <v>50.63673772946663</v>
      </c>
      <c r="M19" s="16">
        <f t="shared" si="0"/>
        <v>0.9488606086363532</v>
      </c>
      <c r="N19" s="16">
        <f>M19*$F$4/_XLL.DIFFY($F$5,$F$6)</f>
        <v>94.88606086363532</v>
      </c>
      <c r="O19" s="4"/>
      <c r="P19" s="4"/>
    </row>
    <row r="20" spans="2:16" ht="10.5">
      <c r="B20" s="1">
        <f>_XLL.DPM(B19,$F$7)</f>
        <v>42005</v>
      </c>
      <c r="D20" s="12">
        <f>_XLL.SCURVE($B20,$F$7,$F$5,$F$6,$F$4,$I$4,$I$5)</f>
        <v>56.440509631358154</v>
      </c>
      <c r="E20" s="12">
        <f>_XLL.SCURVE($B20,$F$7,$F$5,$F$6,$F$4,$I$4,$I$5,,,,1)</f>
        <v>107.38138230263942</v>
      </c>
      <c r="F20" s="12">
        <f>D20/($F$7/12)</f>
        <v>112.88101926271631</v>
      </c>
      <c r="G20" s="13">
        <f t="shared" si="3"/>
        <v>180.96440627115078</v>
      </c>
      <c r="H20" s="4"/>
      <c r="I20" s="16">
        <f>MIN(MAX(_XLL.DIFFY($F$5,B20),0)/_XLL.DIFFY($F$5,$F$6),1)</f>
        <v>0.25</v>
      </c>
      <c r="J20" s="16">
        <f t="shared" si="1"/>
        <v>0.18096440627115082</v>
      </c>
      <c r="K20" s="16">
        <f t="shared" si="2"/>
        <v>180.9644062711508</v>
      </c>
      <c r="L20" s="16">
        <f t="shared" si="4"/>
        <v>56.44050963135817</v>
      </c>
      <c r="M20" s="16">
        <f t="shared" si="0"/>
        <v>1.0738138215377722</v>
      </c>
      <c r="N20" s="16">
        <f>M20*$F$4/_XLL.DIFFY($F$5,$F$6)</f>
        <v>107.38138215377721</v>
      </c>
      <c r="O20" s="4"/>
      <c r="P20" s="4"/>
    </row>
    <row r="21" spans="2:16" ht="10.5">
      <c r="B21" s="1">
        <f>_XLL.DPM(B20,$F$7)</f>
        <v>42186</v>
      </c>
      <c r="D21" s="12">
        <f>_XLL.SCURVE($B21,$F$7,$F$5,$F$6,$F$4,$I$4,$I$5)</f>
        <v>61.264917517642104</v>
      </c>
      <c r="E21" s="12">
        <f>_XLL.SCURVE($B21,$F$7,$F$5,$F$6,$F$4,$I$4,$I$5,,,,1)</f>
        <v>118.05339487192099</v>
      </c>
      <c r="F21" s="12">
        <f>D21/($F$7/12)</f>
        <v>122.52983503528421</v>
      </c>
      <c r="G21" s="13">
        <f t="shared" si="3"/>
        <v>237.40491590250895</v>
      </c>
      <c r="H21" s="4"/>
      <c r="I21" s="16">
        <f>MIN(MAX(_XLL.DIFFY($F$5,B21),0)/_XLL.DIFFY($F$5,$F$6),1)</f>
        <v>0.3</v>
      </c>
      <c r="J21" s="16">
        <f t="shared" si="1"/>
        <v>0.23740491590250898</v>
      </c>
      <c r="K21" s="16">
        <f t="shared" si="2"/>
        <v>237.40491590250898</v>
      </c>
      <c r="L21" s="16">
        <f t="shared" si="4"/>
        <v>61.26491751764209</v>
      </c>
      <c r="M21" s="16">
        <f t="shared" si="0"/>
        <v>1.1805339472978793</v>
      </c>
      <c r="N21" s="16">
        <f>M21*$F$4/_XLL.DIFFY($F$5,$F$6)</f>
        <v>118.05339472978793</v>
      </c>
      <c r="O21" s="4"/>
      <c r="P21" s="4"/>
    </row>
    <row r="22" spans="2:16" ht="10.5">
      <c r="B22" s="1">
        <f>_XLL.DPM(B21,$F$7)</f>
        <v>42370</v>
      </c>
      <c r="D22" s="12">
        <f>_XLL.SCURVE($B22,$F$7,$F$5,$F$6,$F$4,$I$4,$I$5)</f>
        <v>64.99116845486641</v>
      </c>
      <c r="E22" s="12">
        <f>_XLL.SCURVE($B22,$F$7,$F$5,$F$6,$F$4,$I$4,$I$5,,,,1)</f>
        <v>126.63931835635842</v>
      </c>
      <c r="F22" s="12">
        <f>D22/($F$7/12)</f>
        <v>129.98233690973282</v>
      </c>
      <c r="G22" s="13">
        <f t="shared" si="3"/>
        <v>298.66983342015106</v>
      </c>
      <c r="H22" s="4"/>
      <c r="I22" s="16">
        <f>MIN(MAX(_XLL.DIFFY($F$5,B22),0)/_XLL.DIFFY($F$5,$F$6),1)</f>
        <v>0.35</v>
      </c>
      <c r="J22" s="16">
        <f t="shared" si="1"/>
        <v>0.2986698334201511</v>
      </c>
      <c r="K22" s="16">
        <f t="shared" si="2"/>
        <v>298.66983342015106</v>
      </c>
      <c r="L22" s="16">
        <f t="shared" si="4"/>
        <v>64.9911684548664</v>
      </c>
      <c r="M22" s="16">
        <f t="shared" si="0"/>
        <v>1.2663931822340964</v>
      </c>
      <c r="N22" s="16">
        <f>M22*$F$4/_XLL.DIFFY($F$5,$F$6)</f>
        <v>126.63931822340965</v>
      </c>
      <c r="O22" s="4"/>
      <c r="P22" s="4"/>
    </row>
    <row r="23" spans="2:16" ht="10.5">
      <c r="B23" s="1">
        <f>_XLL.DPM(B22,$F$7)</f>
        <v>42552</v>
      </c>
      <c r="D23" s="12">
        <f>_XLL.SCURVE($B23,$F$7,$F$5,$F$6,$F$4,$I$4,$I$5)</f>
        <v>67.52750977823884</v>
      </c>
      <c r="E23" s="12">
        <f>_XLL.SCURVE($B23,$F$7,$F$5,$F$6,$F$4,$I$4,$I$5,,,,1)</f>
        <v>132.92773882471852</v>
      </c>
      <c r="F23" s="12">
        <f>D23/($F$7/12)</f>
        <v>135.05501955647767</v>
      </c>
      <c r="G23" s="13">
        <f t="shared" si="3"/>
        <v>363.66100187501746</v>
      </c>
      <c r="H23" s="4"/>
      <c r="I23" s="16">
        <f>MIN(MAX(_XLL.DIFFY($F$5,B23),0)/_XLL.DIFFY($F$5,$F$6),1)</f>
        <v>0.4</v>
      </c>
      <c r="J23" s="16">
        <f t="shared" si="1"/>
        <v>0.3636610018750175</v>
      </c>
      <c r="K23" s="16">
        <f t="shared" si="2"/>
        <v>363.66100187501746</v>
      </c>
      <c r="L23" s="16">
        <f t="shared" si="4"/>
        <v>67.52750977823888</v>
      </c>
      <c r="M23" s="16">
        <f t="shared" si="0"/>
        <v>1.3292773870291805</v>
      </c>
      <c r="N23" s="16">
        <f>M23*$F$4/_XLL.DIFFY($F$5,$F$6)</f>
        <v>132.92773870291805</v>
      </c>
      <c r="O23" s="4"/>
      <c r="P23" s="4"/>
    </row>
    <row r="24" spans="2:16" ht="10.5">
      <c r="B24" s="1">
        <f>_XLL.DPM(B23,$F$7)</f>
        <v>42736</v>
      </c>
      <c r="D24" s="12">
        <f>_XLL.SCURVE($B24,$F$7,$F$5,$F$6,$F$4,$I$4,$I$5)</f>
        <v>68.81148834674366</v>
      </c>
      <c r="E24" s="12">
        <f>_XLL.SCURVE($B24,$F$7,$F$5,$F$6,$F$4,$I$4,$I$5,,,,1)</f>
        <v>136.76381449499928</v>
      </c>
      <c r="F24" s="12">
        <f>D24/($F$7/12)</f>
        <v>137.62297669348732</v>
      </c>
      <c r="G24" s="13">
        <f t="shared" si="3"/>
        <v>431.1885116532563</v>
      </c>
      <c r="H24" s="4"/>
      <c r="I24" s="16">
        <f>MIN(MAX(_XLL.DIFFY($F$5,B24),0)/_XLL.DIFFY($F$5,$F$6),1)</f>
        <v>0.45</v>
      </c>
      <c r="J24" s="16">
        <f t="shared" si="1"/>
        <v>0.43118851165325633</v>
      </c>
      <c r="K24" s="16">
        <f t="shared" si="2"/>
        <v>431.18851165325634</v>
      </c>
      <c r="L24" s="16">
        <f t="shared" si="4"/>
        <v>68.81148834674366</v>
      </c>
      <c r="M24" s="16">
        <f t="shared" si="0"/>
        <v>1.3676381438579233</v>
      </c>
      <c r="N24" s="16">
        <f>M24*$F$4/_XLL.DIFFY($F$5,$F$6)</f>
        <v>136.76381438579233</v>
      </c>
      <c r="O24" s="4"/>
      <c r="P24" s="4"/>
    </row>
    <row r="25" spans="2:16" ht="10.5">
      <c r="B25" s="1">
        <f>_XLL.DPM(B24,$F$7)</f>
        <v>42917</v>
      </c>
      <c r="D25" s="12">
        <f>_XLL.SCURVE($B25,$F$7,$F$5,$F$6,$F$4,$I$4,$I$5)</f>
        <v>68.81148834674366</v>
      </c>
      <c r="E25" s="12">
        <f>_XLL.SCURVE($B25,$F$7,$F$5,$F$6,$F$4,$I$4,$I$5,,,,1)</f>
        <v>138.0530884529931</v>
      </c>
      <c r="F25" s="12">
        <f>D25/($F$7/12)</f>
        <v>137.62297669348732</v>
      </c>
      <c r="G25" s="13">
        <f t="shared" si="3"/>
        <v>499.99999999999994</v>
      </c>
      <c r="H25" s="4"/>
      <c r="I25" s="16">
        <f>MIN(MAX(_XLL.DIFFY($F$5,B25),0)/_XLL.DIFFY($F$5,$F$6),1)</f>
        <v>0.5</v>
      </c>
      <c r="J25" s="16">
        <f t="shared" si="1"/>
        <v>0.5</v>
      </c>
      <c r="K25" s="16">
        <f t="shared" si="2"/>
        <v>500</v>
      </c>
      <c r="L25" s="16">
        <f t="shared" si="4"/>
        <v>68.81148834674366</v>
      </c>
      <c r="M25" s="16">
        <f t="shared" si="0"/>
        <v>1.3805308835730201</v>
      </c>
      <c r="N25" s="16">
        <f>M25*$F$4/_XLL.DIFFY($F$5,$F$6)</f>
        <v>138.05308835730202</v>
      </c>
      <c r="O25" s="4"/>
      <c r="P25" s="4"/>
    </row>
    <row r="26" spans="2:16" ht="10.5">
      <c r="B26" s="1">
        <f>_XLL.DPM(B25,$F$7)</f>
        <v>43101</v>
      </c>
      <c r="D26" s="12">
        <f>_XLL.SCURVE($B26,$F$7,$F$5,$F$6,$F$4,$I$4,$I$5)</f>
        <v>67.52750977823884</v>
      </c>
      <c r="E26" s="12">
        <f>_XLL.SCURVE($B26,$F$7,$F$5,$F$6,$F$4,$I$4,$I$5,,,,1)</f>
        <v>136.76381449499928</v>
      </c>
      <c r="F26" s="12">
        <f>D26/($F$7/12)</f>
        <v>135.05501955647767</v>
      </c>
      <c r="G26" s="13">
        <f t="shared" si="3"/>
        <v>568.8114883467435</v>
      </c>
      <c r="H26" s="4"/>
      <c r="I26" s="16">
        <f>MIN(MAX(_XLL.DIFFY($F$5,B26),0)/_XLL.DIFFY($F$5,$F$6),1)</f>
        <v>0.55</v>
      </c>
      <c r="J26" s="16">
        <f t="shared" si="1"/>
        <v>0.5688114883467437</v>
      </c>
      <c r="K26" s="16">
        <f t="shared" si="2"/>
        <v>568.8114883467437</v>
      </c>
      <c r="L26" s="16">
        <f t="shared" si="4"/>
        <v>67.52750977823882</v>
      </c>
      <c r="M26" s="16">
        <f t="shared" si="0"/>
        <v>1.3676381441323684</v>
      </c>
      <c r="N26" s="16">
        <f>M26*$F$4/_XLL.DIFFY($F$5,$F$6)</f>
        <v>136.76381441323684</v>
      </c>
      <c r="O26" s="4"/>
      <c r="P26" s="4"/>
    </row>
    <row r="27" spans="2:16" ht="10.5">
      <c r="B27" s="1">
        <f>_XLL.DPM(B26,$F$7)</f>
        <v>43282</v>
      </c>
      <c r="D27" s="12">
        <f>_XLL.SCURVE($B27,$F$7,$F$5,$F$6,$F$4,$I$4,$I$5)</f>
        <v>64.99116845486637</v>
      </c>
      <c r="E27" s="12">
        <f>_XLL.SCURVE($B27,$F$7,$F$5,$F$6,$F$4,$I$4,$I$5,,,,1)</f>
        <v>132.92773882471855</v>
      </c>
      <c r="F27" s="12">
        <f>D27/($F$7/12)</f>
        <v>129.98233690973274</v>
      </c>
      <c r="G27" s="13">
        <f t="shared" si="3"/>
        <v>636.3389981249824</v>
      </c>
      <c r="H27" s="4"/>
      <c r="I27" s="16">
        <f>MIN(MAX(_XLL.DIFFY($F$5,B27),0)/_XLL.DIFFY($F$5,$F$6),1)</f>
        <v>0.6</v>
      </c>
      <c r="J27" s="16">
        <f t="shared" si="1"/>
        <v>0.6363389981249825</v>
      </c>
      <c r="K27" s="16">
        <f t="shared" si="2"/>
        <v>636.3389981249825</v>
      </c>
      <c r="L27" s="16">
        <f t="shared" si="4"/>
        <v>64.9911684548664</v>
      </c>
      <c r="M27" s="16">
        <f t="shared" si="0"/>
        <v>1.3292773875681563</v>
      </c>
      <c r="N27" s="16">
        <f>M27*$F$4/_XLL.DIFFY($F$5,$F$6)</f>
        <v>132.92773875681561</v>
      </c>
      <c r="O27" s="4"/>
      <c r="P27" s="4"/>
    </row>
    <row r="28" spans="2:16" ht="10.5">
      <c r="B28" s="1">
        <f>_XLL.DPM(B27,$F$7)</f>
        <v>43466</v>
      </c>
      <c r="D28" s="12">
        <f>_XLL.SCURVE($B28,$F$7,$F$5,$F$6,$F$4,$I$4,$I$5)</f>
        <v>61.26491751764199</v>
      </c>
      <c r="E28" s="12">
        <f>_XLL.SCURVE($B28,$F$7,$F$5,$F$6,$F$4,$I$4,$I$5,,,,1)</f>
        <v>126.63931835635844</v>
      </c>
      <c r="F28" s="12">
        <f>D28/($F$7/12)</f>
        <v>122.52983503528398</v>
      </c>
      <c r="G28" s="13">
        <f t="shared" si="3"/>
        <v>701.3301665798488</v>
      </c>
      <c r="H28" s="4"/>
      <c r="I28" s="16">
        <f>MIN(MAX(_XLL.DIFFY($F$5,B28),0)/_XLL.DIFFY($F$5,$F$6),1)</f>
        <v>0.65</v>
      </c>
      <c r="J28" s="16">
        <f t="shared" si="1"/>
        <v>0.7013301665798489</v>
      </c>
      <c r="K28" s="16">
        <f t="shared" si="2"/>
        <v>701.3301665798489</v>
      </c>
      <c r="L28" s="16">
        <f t="shared" si="4"/>
        <v>61.26491751764195</v>
      </c>
      <c r="M28" s="16">
        <f t="shared" si="0"/>
        <v>1.2663931830180437</v>
      </c>
      <c r="N28" s="16">
        <f>M28*$F$4/_XLL.DIFFY($F$5,$F$6)</f>
        <v>126.63931830180437</v>
      </c>
      <c r="O28" s="4"/>
      <c r="P28" s="4"/>
    </row>
    <row r="29" spans="2:16" ht="10.5">
      <c r="B29" s="1">
        <f>_XLL.DPM(B28,$F$7)</f>
        <v>43647</v>
      </c>
      <c r="D29" s="12">
        <f>_XLL.SCURVE($B29,$F$7,$F$5,$F$6,$F$4,$I$4,$I$5)</f>
        <v>56.44050963135827</v>
      </c>
      <c r="E29" s="12">
        <f>_XLL.SCURVE($B29,$F$7,$F$5,$F$6,$F$4,$I$4,$I$5,,,,1)</f>
        <v>118.05339487192099</v>
      </c>
      <c r="F29" s="12">
        <f>D29/($F$7/12)</f>
        <v>112.88101926271653</v>
      </c>
      <c r="G29" s="13">
        <f t="shared" si="3"/>
        <v>762.5950840974907</v>
      </c>
      <c r="H29" s="4"/>
      <c r="I29" s="16">
        <f>MIN(MAX(_XLL.DIFFY($F$5,B29),0)/_XLL.DIFFY($F$5,$F$6),1)</f>
        <v>0.7</v>
      </c>
      <c r="J29" s="16">
        <f t="shared" si="1"/>
        <v>0.7625950840974909</v>
      </c>
      <c r="K29" s="16">
        <f t="shared" si="2"/>
        <v>762.5950840974908</v>
      </c>
      <c r="L29" s="16">
        <f t="shared" si="4"/>
        <v>56.44050963135828</v>
      </c>
      <c r="M29" s="16">
        <f t="shared" si="0"/>
        <v>1.180533948298143</v>
      </c>
      <c r="N29" s="16">
        <f>M29*$F$4/_XLL.DIFFY($F$5,$F$6)</f>
        <v>118.05339482981431</v>
      </c>
      <c r="O29" s="4"/>
      <c r="P29" s="4"/>
    </row>
    <row r="30" spans="2:16" ht="10.5">
      <c r="B30" s="1">
        <f>_XLL.DPM(B29,$F$7)</f>
        <v>43831</v>
      </c>
      <c r="D30" s="12">
        <f>_XLL.SCURVE($B30,$F$7,$F$5,$F$6,$F$4,$I$4,$I$5)</f>
        <v>50.6367377294666</v>
      </c>
      <c r="E30" s="12">
        <f>_XLL.SCURVE($B30,$F$7,$F$5,$F$6,$F$4,$I$4,$I$5,,,,1)</f>
        <v>107.38138230263942</v>
      </c>
      <c r="F30" s="12">
        <f>D30/($F$7/12)</f>
        <v>101.2734754589332</v>
      </c>
      <c r="G30" s="13">
        <f t="shared" si="3"/>
        <v>819.035593728849</v>
      </c>
      <c r="H30" s="4"/>
      <c r="I30" s="16">
        <f>MIN(MAX(_XLL.DIFFY($F$5,B30),0)/_XLL.DIFFY($F$5,$F$6),1)</f>
        <v>0.75</v>
      </c>
      <c r="J30" s="16">
        <f t="shared" si="1"/>
        <v>0.8190355937288492</v>
      </c>
      <c r="K30" s="16">
        <f t="shared" si="2"/>
        <v>819.0355937288491</v>
      </c>
      <c r="L30" s="16">
        <f t="shared" si="4"/>
        <v>50.63673772946663</v>
      </c>
      <c r="M30" s="16">
        <f t="shared" si="0"/>
        <v>1.0738138227174774</v>
      </c>
      <c r="N30" s="16">
        <f>M30*$F$4/_XLL.DIFFY($F$5,$F$6)</f>
        <v>107.38138227174775</v>
      </c>
      <c r="O30" s="4"/>
      <c r="P30" s="4"/>
    </row>
    <row r="31" spans="2:16" ht="10.5">
      <c r="B31" s="1">
        <f>_XLL.DPM(B30,$F$7)</f>
        <v>44013</v>
      </c>
      <c r="D31" s="12">
        <f>_XLL.SCURVE($B31,$F$7,$F$5,$F$6,$F$4,$I$4,$I$5)</f>
        <v>43.99650993780686</v>
      </c>
      <c r="E31" s="12">
        <f>_XLL.SCURVE($B31,$F$7,$F$5,$F$6,$F$4,$I$4,$I$5,,,,1)</f>
        <v>94.88606101634858</v>
      </c>
      <c r="F31" s="12">
        <f>D31/($F$7/12)</f>
        <v>87.99301987561373</v>
      </c>
      <c r="G31" s="13">
        <f t="shared" si="3"/>
        <v>869.6723314583156</v>
      </c>
      <c r="H31" s="4"/>
      <c r="I31" s="16">
        <f>MIN(MAX(_XLL.DIFFY($F$5,B31),0)/_XLL.DIFFY($F$5,$F$6),1)</f>
        <v>0.8</v>
      </c>
      <c r="J31" s="16">
        <f t="shared" si="1"/>
        <v>0.8696723314583158</v>
      </c>
      <c r="K31" s="16">
        <f t="shared" si="2"/>
        <v>869.6723314583157</v>
      </c>
      <c r="L31" s="16">
        <f t="shared" si="4"/>
        <v>43.99650993780688</v>
      </c>
      <c r="M31" s="16">
        <f t="shared" si="0"/>
        <v>0.9488606099517537</v>
      </c>
      <c r="N31" s="16">
        <f>M31*$F$4/_XLL.DIFFY($F$5,$F$6)</f>
        <v>94.88606099517537</v>
      </c>
      <c r="O31" s="4"/>
      <c r="P31" s="4"/>
    </row>
    <row r="32" spans="2:16" ht="10.5">
      <c r="B32" s="1">
        <f>_XLL.DPM(B31,$F$7)</f>
        <v>44197</v>
      </c>
      <c r="D32" s="12">
        <f>_XLL.SCURVE($B32,$F$7,$F$5,$F$6,$F$4,$I$4,$I$5)</f>
        <v>36.68333070226189</v>
      </c>
      <c r="E32" s="12">
        <f>_XLL.SCURVE($B32,$F$7,$F$5,$F$6,$F$4,$I$4,$I$5,,,,1)</f>
        <v>80.87510729271065</v>
      </c>
      <c r="F32" s="12">
        <f>D32/($F$7/12)</f>
        <v>73.36666140452378</v>
      </c>
      <c r="G32" s="13">
        <f t="shared" si="3"/>
        <v>913.6688413961225</v>
      </c>
      <c r="H32" s="4"/>
      <c r="I32" s="16">
        <f>MIN(MAX(_XLL.DIFFY($F$5,B32),0)/_XLL.DIFFY($F$5,$F$6),1)</f>
        <v>0.85</v>
      </c>
      <c r="J32" s="16">
        <f t="shared" si="1"/>
        <v>0.9136688413961226</v>
      </c>
      <c r="K32" s="16">
        <f t="shared" si="2"/>
        <v>913.6688413961226</v>
      </c>
      <c r="L32" s="16">
        <f t="shared" si="4"/>
        <v>36.683330702261856</v>
      </c>
      <c r="M32" s="16">
        <f t="shared" si="0"/>
        <v>0.808751072795669</v>
      </c>
      <c r="N32" s="16">
        <f>M32*$F$4/_XLL.DIFFY($F$5,$F$6)</f>
        <v>80.8751072795669</v>
      </c>
      <c r="O32" s="4"/>
      <c r="P32" s="4"/>
    </row>
    <row r="33" spans="2:16" ht="10.5">
      <c r="B33" s="1">
        <f>_XLL.DPM(B32,$F$7)</f>
        <v>44378</v>
      </c>
      <c r="D33" s="12">
        <f>_XLL.SCURVE($B33,$F$7,$F$5,$F$6,$F$4,$I$4,$I$5)</f>
        <v>28.877274766661316</v>
      </c>
      <c r="E33" s="12">
        <f>_XLL.SCURVE($B33,$F$7,$F$5,$F$6,$F$4,$I$4,$I$5,,,,1)</f>
        <v>65.69351731209112</v>
      </c>
      <c r="F33" s="12">
        <f>D33/($F$7/12)</f>
        <v>57.75454953332263</v>
      </c>
      <c r="G33" s="13">
        <f t="shared" si="3"/>
        <v>950.3521720983844</v>
      </c>
      <c r="H33" s="4"/>
      <c r="I33" s="16">
        <f>MIN(MAX(_XLL.DIFFY($F$5,B33),0)/_XLL.DIFFY($F$5,$F$6),1)</f>
        <v>0.9</v>
      </c>
      <c r="J33" s="16">
        <f t="shared" si="1"/>
        <v>0.9503521720983845</v>
      </c>
      <c r="K33" s="16">
        <f t="shared" si="2"/>
        <v>950.3521720983845</v>
      </c>
      <c r="L33" s="16">
        <f t="shared" si="4"/>
        <v>28.877274766661344</v>
      </c>
      <c r="M33" s="16">
        <f t="shared" si="0"/>
        <v>0.6569351730516961</v>
      </c>
      <c r="N33" s="16">
        <f>M33*$F$4/_XLL.DIFFY($F$5,$F$6)</f>
        <v>65.6935173051696</v>
      </c>
      <c r="O33" s="4"/>
      <c r="P33" s="4"/>
    </row>
    <row r="34" spans="2:16" ht="10.5">
      <c r="B34" s="1">
        <f>_XLL.DPM(B33,$F$7)</f>
        <v>44562</v>
      </c>
      <c r="D34" s="12">
        <f>_XLL.SCURVE($B34,$F$7,$F$5,$F$6,$F$4,$I$4,$I$5)</f>
        <v>20.770553134954163</v>
      </c>
      <c r="E34" s="12">
        <f>_XLL.SCURVE($B34,$F$7,$F$5,$F$6,$F$4,$I$4,$I$5,,,,1)</f>
        <v>49.7151122046213</v>
      </c>
      <c r="F34" s="12">
        <f>D34/($F$7/12)</f>
        <v>41.541106269908326</v>
      </c>
      <c r="G34" s="13">
        <f t="shared" si="3"/>
        <v>979.2294468650457</v>
      </c>
      <c r="H34" s="4"/>
      <c r="I34" s="16">
        <f>MIN(MAX(_XLL.DIFFY($F$5,B34),0)/_XLL.DIFFY($F$5,$F$6),1)</f>
        <v>0.95</v>
      </c>
      <c r="J34" s="16">
        <f t="shared" si="1"/>
        <v>0.9792294468650459</v>
      </c>
      <c r="K34" s="16">
        <f t="shared" si="2"/>
        <v>979.2294468650458</v>
      </c>
      <c r="L34" s="16">
        <f t="shared" si="4"/>
        <v>20.770553134954184</v>
      </c>
      <c r="M34" s="16">
        <f t="shared" si="0"/>
        <v>0.4971511220207125</v>
      </c>
      <c r="N34" s="16">
        <f>M34*$F$4/_XLL.DIFFY($F$5,$F$6)</f>
        <v>49.715112202071246</v>
      </c>
      <c r="O34" s="4"/>
      <c r="P34" s="4"/>
    </row>
    <row r="35" spans="2:16" ht="10.5">
      <c r="B35" s="1">
        <f>_XLL.DPM(B34,$F$7)</f>
        <v>44743</v>
      </c>
      <c r="D35" s="12">
        <f>_XLL.SCURVE($B35,$F$7,$F$5,$F$6,$F$4,$I$4,$I$5)</f>
        <v>0</v>
      </c>
      <c r="E35" s="12">
        <f>_XLL.SCURVE($B35,$F$7,$F$5,$F$6,$F$4,$I$4,$I$5,,,,1)</f>
        <v>33.33333333333335</v>
      </c>
      <c r="F35" s="12">
        <f>D35/($F$7/12)</f>
        <v>0</v>
      </c>
      <c r="G35" s="13">
        <f t="shared" si="3"/>
        <v>999.9999999999999</v>
      </c>
      <c r="H35" s="4"/>
      <c r="I35" s="16">
        <f>MIN(MAX(_XLL.DIFFY($F$5,B35),0)/_XLL.DIFFY($F$5,$F$6),1)</f>
        <v>1</v>
      </c>
      <c r="J35" s="16">
        <f t="shared" si="1"/>
        <v>1</v>
      </c>
      <c r="K35" s="16">
        <f t="shared" si="2"/>
        <v>1000</v>
      </c>
      <c r="L35" s="16">
        <f t="shared" si="4"/>
        <v>0</v>
      </c>
      <c r="M35" s="16">
        <f t="shared" si="0"/>
        <v>0.3333333333333335</v>
      </c>
      <c r="N35" s="16">
        <f>M35*$F$4/_XLL.DIFFY($F$5,$F$6)</f>
        <v>33.33333333333335</v>
      </c>
      <c r="O35" s="4"/>
      <c r="P35" s="4"/>
    </row>
    <row r="36" spans="2:16" ht="10.5">
      <c r="B36" s="1">
        <f>_XLL.DPM(B35,$F$7)</f>
        <v>44927</v>
      </c>
      <c r="D36" s="12">
        <f>_XLL.SCURVE($B36,$F$7,$F$5,$F$6,$F$4,$I$4,$I$5)</f>
        <v>0</v>
      </c>
      <c r="E36" s="12">
        <f>_XLL.SCURVE($B36,$F$7,$F$5,$F$6,$F$4,$I$4,$I$5,,,,1)</f>
        <v>0</v>
      </c>
      <c r="F36" s="12">
        <f>D36/($F$7/12)</f>
        <v>0</v>
      </c>
      <c r="G36" s="13">
        <f t="shared" si="3"/>
        <v>999.9999999999999</v>
      </c>
      <c r="H36" s="4"/>
      <c r="I36" s="16">
        <f>MIN(MAX(_XLL.DIFFY($F$5,B36),0)/_XLL.DIFFY($F$5,$F$6),1)</f>
        <v>1</v>
      </c>
      <c r="J36" s="16">
        <f t="shared" si="1"/>
        <v>1</v>
      </c>
      <c r="K36" s="16">
        <f t="shared" si="2"/>
        <v>1000</v>
      </c>
      <c r="L36" s="16">
        <f t="shared" si="4"/>
        <v>0</v>
      </c>
      <c r="M36" s="16">
        <f t="shared" si="0"/>
        <v>0.3333333333333335</v>
      </c>
      <c r="N36" s="16">
        <f>M36*$F$4/_XLL.DIFFY($F$5,$F$6)</f>
        <v>33.33333333333335</v>
      </c>
      <c r="O36" s="4"/>
      <c r="P36" s="4"/>
    </row>
    <row r="37" spans="2:16" ht="10.5">
      <c r="B37" s="1">
        <f>_XLL.DPM(B36,$F$7)</f>
        <v>45108</v>
      </c>
      <c r="D37" s="12">
        <f>_XLL.SCURVE($B37,$F$7,$F$5,$F$6,$F$4,$I$4,$I$5)</f>
        <v>0</v>
      </c>
      <c r="E37" s="12">
        <f>_XLL.SCURVE($B37,$F$7,$F$5,$F$6,$F$4,$I$4,$I$5,,,,1)</f>
        <v>0</v>
      </c>
      <c r="F37" s="12">
        <f>D37/($F$7/12)</f>
        <v>0</v>
      </c>
      <c r="G37" s="13">
        <f t="shared" si="3"/>
        <v>999.9999999999999</v>
      </c>
      <c r="H37" s="4"/>
      <c r="I37" s="16">
        <f>MIN(MAX(_XLL.DIFFY($F$5,B37),0)/_XLL.DIFFY($F$5,$F$6),1)</f>
        <v>1</v>
      </c>
      <c r="J37" s="16">
        <f t="shared" si="1"/>
        <v>1</v>
      </c>
      <c r="K37" s="16">
        <f t="shared" si="2"/>
        <v>1000</v>
      </c>
      <c r="L37" s="16">
        <f t="shared" si="4"/>
        <v>0</v>
      </c>
      <c r="M37" s="16">
        <f t="shared" si="0"/>
        <v>0.3333333333333335</v>
      </c>
      <c r="N37" s="16">
        <f>M37*$F$4/_XLL.DIFFY($F$5,$F$6)</f>
        <v>33.33333333333335</v>
      </c>
      <c r="O37" s="4"/>
      <c r="P37" s="4"/>
    </row>
    <row r="38" spans="2:16" ht="10.5">
      <c r="B38" s="1">
        <f>_XLL.DPM(B37,$F$7)</f>
        <v>45292</v>
      </c>
      <c r="D38" s="12">
        <f>_XLL.SCURVE($B38,$F$7,$F$5,$F$6,$F$4,$I$4,$I$5)</f>
        <v>0</v>
      </c>
      <c r="E38" s="12">
        <f>_XLL.SCURVE($B38,$F$7,$F$5,$F$6,$F$4,$I$4,$I$5,,,,1)</f>
        <v>0</v>
      </c>
      <c r="F38" s="12">
        <f>D38/($F$7/12)</f>
        <v>0</v>
      </c>
      <c r="G38" s="13">
        <f t="shared" si="3"/>
        <v>999.9999999999999</v>
      </c>
      <c r="H38" s="4"/>
      <c r="I38" s="16">
        <f>MIN(MAX(_XLL.DIFFY($F$5,B38),0)/_XLL.DIFFY($F$5,$F$6),1)</f>
        <v>1</v>
      </c>
      <c r="J38" s="16">
        <f t="shared" si="1"/>
        <v>1</v>
      </c>
      <c r="K38" s="16">
        <f t="shared" si="2"/>
        <v>1000</v>
      </c>
      <c r="L38" s="16"/>
      <c r="M38" s="16">
        <f t="shared" si="0"/>
        <v>0.3333333333333335</v>
      </c>
      <c r="N38" s="16">
        <f>M38*$F$4/_XLL.DIFFY($F$5,$F$6)</f>
        <v>33.33333333333335</v>
      </c>
      <c r="O38" s="4"/>
      <c r="P38" s="4"/>
    </row>
    <row r="39" spans="2:16" ht="10.5">
      <c r="B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0.5">
      <c r="B40" s="1"/>
      <c r="D40" s="5">
        <f>SUM(D14:D39)</f>
        <v>999.9999999999999</v>
      </c>
      <c r="E40" s="4"/>
      <c r="F40" s="4"/>
      <c r="G40" s="4"/>
      <c r="H40" s="4"/>
      <c r="I40" s="4"/>
      <c r="J40" s="4"/>
      <c r="K40" s="4"/>
      <c r="L40" s="5">
        <f>SUM(L14:L39)</f>
        <v>1000</v>
      </c>
      <c r="M40" s="4"/>
      <c r="N40" s="4"/>
      <c r="O40" s="4"/>
      <c r="P40" s="4"/>
    </row>
    <row r="41" spans="2:16" ht="10.5">
      <c r="B41" s="1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0.5">
      <c r="B42" s="1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0.5">
      <c r="B43" s="1"/>
      <c r="D43" s="4"/>
      <c r="E43" s="4"/>
      <c r="F43" s="4"/>
      <c r="G43" s="4"/>
      <c r="H43" s="4"/>
      <c r="I43" s="4"/>
      <c r="K43" s="4"/>
      <c r="L43" s="4"/>
      <c r="M43" s="4"/>
      <c r="N43" s="4"/>
      <c r="O43" s="4"/>
      <c r="P43" s="4"/>
    </row>
    <row r="44" spans="2:16" ht="10.5">
      <c r="B44" s="1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0.5">
      <c r="B45" s="1"/>
      <c r="D45" s="4"/>
      <c r="E45" s="4"/>
      <c r="F45" s="4"/>
      <c r="G45" s="4"/>
      <c r="H45" s="4"/>
      <c r="I45" s="4"/>
      <c r="J45" s="4"/>
      <c r="L45" s="4"/>
      <c r="M45" s="4"/>
      <c r="N45" s="4"/>
      <c r="O45" s="4"/>
      <c r="P45" s="4"/>
    </row>
    <row r="46" spans="2:16" ht="10.5">
      <c r="B46" s="1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0.5">
      <c r="B47" s="1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0.5">
      <c r="B48" s="1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0.5">
      <c r="B49" s="1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0.5">
      <c r="B50" s="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0.5">
      <c r="B51" s="1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0.5">
      <c r="B52" s="1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ht="10.5">
      <c r="B53" s="1"/>
    </row>
    <row r="54" ht="10.5">
      <c r="B54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busfun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2012-03-06T10:13:25Z</dcterms:created>
  <dcterms:modified xsi:type="dcterms:W3CDTF">2012-03-06T15:16:45Z</dcterms:modified>
  <cp:category/>
  <cp:version/>
  <cp:contentType/>
  <cp:contentStatus/>
</cp:coreProperties>
</file>