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85" windowHeight="8580" activeTab="0"/>
  </bookViews>
  <sheets>
    <sheet name="Sheet1" sheetId="1" r:id="rId1"/>
  </sheets>
  <definedNames>
    <definedName name="AdvancedFees">'Sheet1'!$E$11</definedName>
    <definedName name="Base">'Sheet1'!$M$4</definedName>
    <definedName name="BFRT_hsaocnryapfgkrbys17g" hidden="1">'Sheet1'!$A$1</definedName>
    <definedName name="BFRTDZONRQAFKZGGKIIBQKRPPYKQRGL3" hidden="1">'Sheet1'!$A$1</definedName>
    <definedName name="BFRTPZONRQAFKZGGK3" hidden="1">'Sheet1'!$A$1</definedName>
    <definedName name="cashFlows">'Sheet1'!$I$37:$I$165</definedName>
    <definedName name="CloseBals">'Sheet1'!$K$37:$K$165</definedName>
    <definedName name="Dates">'Sheet1'!$C$37:$C$165</definedName>
    <definedName name="DayCount">'Sheet1'!$E$18</definedName>
    <definedName name="DrawDate">'Sheet1'!$E$13</definedName>
    <definedName name="FinBal">'Sheet1'!$E$16</definedName>
    <definedName name="FirstPmtDate">'Sheet1'!$C$38</definedName>
    <definedName name="IntRate">'Sheet1'!$E$15</definedName>
    <definedName name="LoanAmount">'Sheet1'!$E$10</definedName>
    <definedName name="LoanPmts">'Sheet1'!$G$37:$G$165</definedName>
    <definedName name="NumPmts">'Sheet1'!$E$14</definedName>
    <definedName name="PeriodsInt">'Sheet1'!$E$23:$E$29</definedName>
    <definedName name="_xlnm.Print_Area" localSheetId="0">'Sheet1'!$B$1:$O$166</definedName>
    <definedName name="RegPmt">'Sheet1'!$L$10</definedName>
    <definedName name="RepDate">'Sheet1'!$L$14</definedName>
    <definedName name="SepFees">'Sheet1'!$E$12</definedName>
    <definedName name="XCap">'Sheet1'!$K$19:$K$29</definedName>
    <definedName name="XDates">'Sheet1'!$J$19:$J$29</definedName>
    <definedName name="XPmts">'Sheet1'!$M$19:$M$29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<sst xmlns="http://schemas.openxmlformats.org/spreadsheetml/2006/main" count="62" uniqueCount="55">
  <si>
    <t>Interest</t>
  </si>
  <si>
    <t>DayCount</t>
  </si>
  <si>
    <t>Principal</t>
  </si>
  <si>
    <t>Fees</t>
  </si>
  <si>
    <t>Total</t>
  </si>
  <si>
    <t>Closing</t>
  </si>
  <si>
    <t>Balance</t>
  </si>
  <si>
    <t>You can insert extra rows , so long as you copy the formula down ACROSS the region where you inserted the rows.</t>
  </si>
  <si>
    <t>Insert</t>
  </si>
  <si>
    <t>Rows</t>
  </si>
  <si>
    <t>Here</t>
  </si>
  <si>
    <t>|</t>
  </si>
  <si>
    <t>^</t>
  </si>
  <si>
    <t>v</t>
  </si>
  <si>
    <t>Anywhere</t>
  </si>
  <si>
    <t>and</t>
  </si>
  <si>
    <t>Copy</t>
  </si>
  <si>
    <t>Formulae</t>
  </si>
  <si>
    <t>Periods (mm.dd)</t>
  </si>
  <si>
    <t>Loan Amount</t>
  </si>
  <si>
    <t>Draw Date</t>
  </si>
  <si>
    <t>Number of Payments</t>
  </si>
  <si>
    <t>Outputs:</t>
  </si>
  <si>
    <t>Regular Payment</t>
  </si>
  <si>
    <t>Final Loan Balance Sought</t>
  </si>
  <si>
    <t>For loan mortgages</t>
  </si>
  <si>
    <t>SubTotal</t>
  </si>
  <si>
    <t>Loan</t>
  </si>
  <si>
    <t>Payment</t>
  </si>
  <si>
    <t>Fees added to loan amount</t>
  </si>
  <si>
    <t>Fees charged separately</t>
  </si>
  <si>
    <t xml:space="preserve"> Act/365 basis</t>
  </si>
  <si>
    <t xml:space="preserve">CashFlow </t>
  </si>
  <si>
    <t>For US APR</t>
  </si>
  <si>
    <t>Final Loan Balance Calculated</t>
  </si>
  <si>
    <t>Inputs:</t>
  </si>
  <si>
    <t>if req'd</t>
  </si>
  <si>
    <t>Illustrative Cashflow</t>
  </si>
  <si>
    <t>Effective Interest Rate (AER) excl fees</t>
  </si>
  <si>
    <t>APR (US/Int'l Definition)</t>
  </si>
  <si>
    <t>APR/AER incl fees (UK Definition)</t>
  </si>
  <si>
    <t>Version 1.1</t>
  </si>
  <si>
    <t>Date</t>
  </si>
  <si>
    <t>Change In</t>
  </si>
  <si>
    <t>Reg. Pmt</t>
  </si>
  <si>
    <t>Interest Rate per annum</t>
  </si>
  <si>
    <t>Num Prds</t>
  </si>
  <si>
    <t>Final Repayment Date</t>
  </si>
  <si>
    <t xml:space="preserve">Mortgage Loan Model, with ad-hoc extra Repayments </t>
  </si>
  <si>
    <t>Extra Capital Repayments:</t>
  </si>
  <si>
    <t>Requires BF 1.25+</t>
  </si>
  <si>
    <t>Note that the first interest period</t>
  </si>
  <si>
    <t>can be a PARTIAL period, as in the</t>
  </si>
  <si>
    <t>example.</t>
  </si>
  <si>
    <r>
      <t>Features:</t>
    </r>
    <r>
      <rPr>
        <sz val="7"/>
        <color indexed="23"/>
        <rFont val="Verdana"/>
        <family val="2"/>
      </rPr>
      <t xml:space="preserve">  Partial first period capability, Business Day Capability, any form of interest daycount, multiple ad hoc repaymnets</t>
    </r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</si>
</sst>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_);;"/>
    <numFmt numFmtId="165" formatCode="_(\ ##,##0_);\(#,##0\);"/>
    <numFmt numFmtId="166" formatCode="_(\ 0.00%\ _);\(0.00%\ \);"/>
    <numFmt numFmtId="167" formatCode="_(\ \+#,##0.00_);\ _(\ \-#,##0.00_);_(\ \+#,##0.00_)"/>
    <numFmt numFmtId="168" formatCode="_(\ #,##0\ &quot;months&quot;_);\(#,##0\ &quot;months&quot;\);"/>
    <numFmt numFmtId="169" formatCode="_(\ ###0.00_);\(###0.00\);"/>
    <numFmt numFmtId="170" formatCode="_(\ #,##0\ &quot;p.a.&quot;_);\(#,##0\ &quot;p.a.&quot;\);"/>
    <numFmt numFmtId="171" formatCode="_(\ #,##0\ &quot;periods p.a. (advance)&quot;_);\(#,##0\ &quot; periods p.a. (arrears)&quot;\);"/>
    <numFmt numFmtId="172" formatCode="_(\ #,##0\ &quot;periods p.a.&quot;_);\(#,##0\ &quot; periods p.a.&quot;\);"/>
    <numFmt numFmtId="173" formatCode="_(\ #,##0\ &quot;years&quot;_);\(#,##0\ &quot;years&quot;\);"/>
    <numFmt numFmtId="174" formatCode="_(\ ###0_);\(###0\);"/>
    <numFmt numFmtId="175" formatCode="_(\ 0.00%\ &quot;p.a.&quot;_);\(0.00%\ &quot;p.a.&quot;\);"/>
    <numFmt numFmtId="176" formatCode="_(\ #,##0.0\ &quot;years&quot;_);\(#,##0.0\ &quot;years&quot;\);"/>
    <numFmt numFmtId="177" formatCode="_(\ #,##0.00\ &quot;years&quot;_);\(#,##0.00\ &quot;years&quot;\);"/>
    <numFmt numFmtId="178" formatCode="#,###\ &quot;Pmts&quot;"/>
    <numFmt numFmtId="179" formatCode="_(\ ###0.0000_);\(###0.0000\);"/>
  </numFmts>
  <fonts count="16">
    <font>
      <sz val="11"/>
      <name val="Times New Roman"/>
      <family val="0"/>
    </font>
    <font>
      <sz val="8"/>
      <name val="Times New Roman"/>
      <family val="0"/>
    </font>
    <font>
      <sz val="8"/>
      <name val="Verdana"/>
      <family val="2"/>
    </font>
    <font>
      <b/>
      <sz val="10"/>
      <name val="Verdana"/>
      <family val="2"/>
    </font>
    <font>
      <sz val="7"/>
      <color indexed="23"/>
      <name val="Verdana"/>
      <family val="2"/>
    </font>
    <font>
      <sz val="7"/>
      <name val="Verdana"/>
      <family val="2"/>
    </font>
    <font>
      <sz val="7"/>
      <color indexed="22"/>
      <name val="Verdana"/>
      <family val="2"/>
    </font>
    <font>
      <sz val="7"/>
      <color indexed="23"/>
      <name val="Times New Roman"/>
      <family val="1"/>
    </font>
    <font>
      <b/>
      <sz val="7"/>
      <color indexed="23"/>
      <name val="Times New Roman"/>
      <family val="1"/>
    </font>
    <font>
      <b/>
      <sz val="8"/>
      <name val="Verdana"/>
      <family val="2"/>
    </font>
    <font>
      <b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sz val="7"/>
      <color indexed="10"/>
      <name val="Verdana"/>
      <family val="2"/>
    </font>
    <font>
      <i/>
      <sz val="8"/>
      <color indexed="23"/>
      <name val="Verdana"/>
      <family val="2"/>
    </font>
    <font>
      <b/>
      <sz val="7"/>
      <color indexed="23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64" fontId="2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5" fontId="2" fillId="3" borderId="0" xfId="0" applyNumberFormat="1" applyFont="1" applyFill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9" fontId="2" fillId="2" borderId="2" xfId="0" applyNumberFormat="1" applyFont="1" applyFill="1" applyBorder="1" applyAlignment="1">
      <alignment horizontal="center"/>
    </xf>
    <xf numFmtId="0" fontId="4" fillId="0" borderId="1" xfId="0" applyFont="1" applyBorder="1" applyAlignment="1">
      <alignment/>
    </xf>
    <xf numFmtId="165" fontId="2" fillId="0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/>
    </xf>
    <xf numFmtId="0" fontId="5" fillId="5" borderId="0" xfId="0" applyFont="1" applyFill="1" applyAlignment="1">
      <alignment/>
    </xf>
    <xf numFmtId="0" fontId="6" fillId="4" borderId="0" xfId="0" applyFont="1" applyFill="1" applyAlignment="1">
      <alignment/>
    </xf>
    <xf numFmtId="167" fontId="2" fillId="2" borderId="4" xfId="0" applyNumberFormat="1" applyFont="1" applyFill="1" applyBorder="1" applyAlignment="1">
      <alignment horizontal="center"/>
    </xf>
    <xf numFmtId="167" fontId="2" fillId="2" borderId="5" xfId="0" applyNumberFormat="1" applyFont="1" applyFill="1" applyBorder="1" applyAlignment="1">
      <alignment horizontal="center"/>
    </xf>
    <xf numFmtId="167" fontId="2" fillId="2" borderId="6" xfId="0" applyNumberFormat="1" applyFont="1" applyFill="1" applyBorder="1" applyAlignment="1">
      <alignment horizontal="center"/>
    </xf>
    <xf numFmtId="166" fontId="2" fillId="3" borderId="0" xfId="0" applyNumberFormat="1" applyFont="1" applyFill="1" applyBorder="1" applyAlignment="1">
      <alignment horizontal="center"/>
    </xf>
    <xf numFmtId="0" fontId="4" fillId="0" borderId="0" xfId="0" applyFont="1" applyAlignment="1" quotePrefix="1">
      <alignment/>
    </xf>
    <xf numFmtId="172" fontId="4" fillId="0" borderId="0" xfId="0" applyNumberFormat="1" applyFont="1" applyFill="1" applyAlignment="1">
      <alignment horizontal="left"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Continuous"/>
    </xf>
    <xf numFmtId="164" fontId="9" fillId="0" borderId="1" xfId="0" applyNumberFormat="1" applyFont="1" applyBorder="1" applyAlignment="1">
      <alignment horizontal="centerContinuous"/>
    </xf>
    <xf numFmtId="165" fontId="9" fillId="3" borderId="0" xfId="0" applyNumberFormat="1" applyFont="1" applyFill="1" applyBorder="1" applyAlignment="1">
      <alignment horizontal="center"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 horizontal="right"/>
    </xf>
    <xf numFmtId="164" fontId="2" fillId="2" borderId="7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65" fontId="2" fillId="2" borderId="9" xfId="0" applyNumberFormat="1" applyFont="1" applyFill="1" applyBorder="1" applyAlignment="1">
      <alignment horizontal="center"/>
    </xf>
    <xf numFmtId="165" fontId="2" fillId="2" borderId="10" xfId="0" applyNumberFormat="1" applyFont="1" applyFill="1" applyBorder="1" applyAlignment="1">
      <alignment horizontal="center"/>
    </xf>
    <xf numFmtId="165" fontId="2" fillId="2" borderId="1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75" fontId="2" fillId="2" borderId="2" xfId="0" applyNumberFormat="1" applyFont="1" applyFill="1" applyBorder="1" applyAlignment="1">
      <alignment horizontal="center"/>
    </xf>
    <xf numFmtId="178" fontId="2" fillId="2" borderId="2" xfId="0" applyNumberFormat="1" applyFont="1" applyFill="1" applyBorder="1" applyAlignment="1">
      <alignment horizontal="center"/>
    </xf>
    <xf numFmtId="166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9" fontId="2" fillId="3" borderId="0" xfId="0" applyNumberFormat="1" applyFont="1" applyFill="1" applyAlignment="1">
      <alignment horizontal="center"/>
    </xf>
    <xf numFmtId="0" fontId="13" fillId="0" borderId="0" xfId="0" applyFont="1" applyAlignment="1">
      <alignment/>
    </xf>
    <xf numFmtId="177" fontId="4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0" fontId="14" fillId="0" borderId="0" xfId="0" applyFont="1" applyAlignment="1">
      <alignment/>
    </xf>
    <xf numFmtId="164" fontId="4" fillId="0" borderId="0" xfId="0" applyNumberFormat="1" applyFont="1" applyAlignment="1">
      <alignment horizontal="left"/>
    </xf>
    <xf numFmtId="169" fontId="4" fillId="0" borderId="0" xfId="0" applyNumberFormat="1" applyFont="1" applyAlignment="1">
      <alignment horizontal="left"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7F3D3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21</xdr:row>
      <xdr:rowOff>104775</xdr:rowOff>
    </xdr:from>
    <xdr:to>
      <xdr:col>8</xdr:col>
      <xdr:colOff>285750</xdr:colOff>
      <xdr:row>28</xdr:row>
      <xdr:rowOff>123825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371850" y="2990850"/>
          <a:ext cx="2276475" cy="952500"/>
        </a:xfrm>
        <a:prstGeom prst="rect">
          <a:avLst/>
        </a:prstGeom>
        <a:solidFill>
          <a:srgbClr val="EBEFDB"/>
        </a:solidFill>
        <a:ln w="9525" cmpd="sng">
          <a:solidFill>
            <a:srgbClr val="A2A5A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A2A5A9"/>
              </a:solidFill>
              <a:latin typeface="Times New Roman"/>
              <a:ea typeface="Times New Roman"/>
              <a:cs typeface="Times New Roman"/>
            </a:rPr>
            <a:t>Interest Periods:</a:t>
          </a:r>
          <a:r>
            <a:rPr lang="en-US" cap="none" sz="700" b="0" i="0" u="none" baseline="0">
              <a:solidFill>
                <a:srgbClr val="A2A5A9"/>
              </a:solidFill>
              <a:latin typeface="Times New Roman"/>
              <a:ea typeface="Times New Roman"/>
              <a:cs typeface="Times New Roman"/>
            </a:rPr>
            <a:t> Describes when interest is calculated (accrues). You may need to consult the Business Functions Help File for more information.  Basically, -12 means monthly in arrear, -4 means quarterly in arrear, etc.  You can also specify a series of values in mm.dd format, for example -3.10, -9.10 means bi-annually in arrear on 10th March and 10th of September.</a:t>
          </a:r>
        </a:p>
      </xdr:txBody>
    </xdr:sp>
    <xdr:clientData/>
  </xdr:twoCellAnchor>
  <xdr:twoCellAnchor>
    <xdr:from>
      <xdr:col>5</xdr:col>
      <xdr:colOff>228600</xdr:colOff>
      <xdr:row>15</xdr:row>
      <xdr:rowOff>95250</xdr:rowOff>
    </xdr:from>
    <xdr:to>
      <xdr:col>8</xdr:col>
      <xdr:colOff>295275</xdr:colOff>
      <xdr:row>21</xdr:row>
      <xdr:rowOff>9525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381375" y="2181225"/>
          <a:ext cx="2276475" cy="714375"/>
        </a:xfrm>
        <a:prstGeom prst="rect">
          <a:avLst/>
        </a:prstGeom>
        <a:solidFill>
          <a:srgbClr val="EBEFDB"/>
        </a:solidFill>
        <a:ln w="9525" cmpd="sng">
          <a:solidFill>
            <a:srgbClr val="A2A5A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A2A5A9"/>
              </a:solidFill>
              <a:latin typeface="Times New Roman"/>
              <a:ea typeface="Times New Roman"/>
              <a:cs typeface="Times New Roman"/>
            </a:rPr>
            <a:t>DayCount: </a:t>
          </a:r>
          <a:r>
            <a:rPr lang="en-US" cap="none" sz="700" b="0" i="0" u="none" baseline="0">
              <a:solidFill>
                <a:srgbClr val="A2A5A9"/>
              </a:solidFill>
              <a:latin typeface="Times New Roman"/>
              <a:ea typeface="Times New Roman"/>
              <a:cs typeface="Times New Roman"/>
            </a:rPr>
            <a:t>Describes how the bank calculates its interest. You may need to consult the Business Functions Help File for more information.  The most common options are 3 (Actual/365), 0 (30/360) and 6 (ACT/ACT in period).</a:t>
          </a:r>
        </a:p>
      </xdr:txBody>
    </xdr:sp>
    <xdr:clientData/>
  </xdr:twoCellAnchor>
  <xdr:twoCellAnchor>
    <xdr:from>
      <xdr:col>1</xdr:col>
      <xdr:colOff>133350</xdr:colOff>
      <xdr:row>22</xdr:row>
      <xdr:rowOff>0</xdr:rowOff>
    </xdr:from>
    <xdr:to>
      <xdr:col>3</xdr:col>
      <xdr:colOff>609600</xdr:colOff>
      <xdr:row>29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81025" y="3019425"/>
          <a:ext cx="1619250" cy="933450"/>
        </a:xfrm>
        <a:prstGeom prst="rect">
          <a:avLst/>
        </a:prstGeom>
        <a:solidFill>
          <a:srgbClr val="EBEFDB"/>
        </a:solidFill>
        <a:ln w="9525" cmpd="sng">
          <a:solidFill>
            <a:srgbClr val="A2A5A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A2A5A9"/>
              </a:solidFill>
              <a:latin typeface="Times New Roman"/>
              <a:ea typeface="Times New Roman"/>
              <a:cs typeface="Times New Roman"/>
            </a:rPr>
            <a:t>If you want to adjust for Business Days: </a:t>
          </a:r>
          <a:r>
            <a:rPr lang="en-US" cap="none" sz="700" b="0" i="0" u="none" baseline="0">
              <a:solidFill>
                <a:srgbClr val="A2A5A9"/>
              </a:solidFill>
              <a:latin typeface="Times New Roman"/>
              <a:ea typeface="Times New Roman"/>
              <a:cs typeface="Times New Roman"/>
            </a:rPr>
            <a:t>Try the following.  Insert '20' into the first spare field in the interest periods and make sure DrawDate (cell E12) is a Business Day.  Watch the spreadsheet adjust your payment days for weekends!</a:t>
          </a:r>
        </a:p>
      </xdr:txBody>
    </xdr:sp>
    <xdr:clientData/>
  </xdr:twoCellAnchor>
  <xdr:twoCellAnchor>
    <xdr:from>
      <xdr:col>9</xdr:col>
      <xdr:colOff>66675</xdr:colOff>
      <xdr:row>29</xdr:row>
      <xdr:rowOff>66675</xdr:rowOff>
    </xdr:from>
    <xdr:to>
      <xdr:col>12</xdr:col>
      <xdr:colOff>333375</xdr:colOff>
      <xdr:row>32</xdr:row>
      <xdr:rowOff>66675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6105525" y="4019550"/>
          <a:ext cx="2466975" cy="400050"/>
        </a:xfrm>
        <a:prstGeom prst="rect">
          <a:avLst/>
        </a:prstGeom>
        <a:solidFill>
          <a:srgbClr val="F5E8D8"/>
        </a:solidFill>
        <a:ln w="9525" cmpd="sng">
          <a:solidFill>
            <a:srgbClr val="A2A5A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A2A5A9"/>
              </a:solidFill>
              <a:latin typeface="Times New Roman"/>
              <a:ea typeface="Times New Roman"/>
              <a:cs typeface="Times New Roman"/>
            </a:rPr>
            <a:t>Note: The cashflow below is actually just a check to demonstrate the solution.  All the work is actually done in a single function calls, in cells L10 and M18:M29.</a:t>
          </a:r>
        </a:p>
      </xdr:txBody>
    </xdr:sp>
    <xdr:clientData/>
  </xdr:twoCellAnchor>
  <xdr:twoCellAnchor>
    <xdr:from>
      <xdr:col>1</xdr:col>
      <xdr:colOff>104775</xdr:colOff>
      <xdr:row>0</xdr:row>
      <xdr:rowOff>66675</xdr:rowOff>
    </xdr:from>
    <xdr:to>
      <xdr:col>1</xdr:col>
      <xdr:colOff>314325</xdr:colOff>
      <xdr:row>1</xdr:row>
      <xdr:rowOff>142875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666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2:O280"/>
  <sheetViews>
    <sheetView showGridLines="0" tabSelected="1" workbookViewId="0" topLeftCell="A1">
      <selection activeCell="I10" sqref="I10"/>
    </sheetView>
  </sheetViews>
  <sheetFormatPr defaultColWidth="9.140625" defaultRowHeight="15"/>
  <cols>
    <col min="1" max="1" width="6.7109375" style="17" customWidth="1"/>
    <col min="2" max="2" width="5.421875" style="1" customWidth="1"/>
    <col min="3" max="3" width="11.7109375" style="1" customWidth="1"/>
    <col min="4" max="4" width="11.421875" style="1" customWidth="1"/>
    <col min="5" max="5" width="12.00390625" style="1" bestFit="1" customWidth="1"/>
    <col min="6" max="6" width="12.7109375" style="1" bestFit="1" customWidth="1"/>
    <col min="7" max="7" width="10.28125" style="1" customWidth="1"/>
    <col min="8" max="9" width="10.140625" style="1" customWidth="1"/>
    <col min="10" max="10" width="11.00390625" style="1" customWidth="1"/>
    <col min="11" max="11" width="10.140625" style="1" customWidth="1"/>
    <col min="12" max="12" width="11.8515625" style="1" customWidth="1"/>
    <col min="13" max="13" width="11.421875" style="1" customWidth="1"/>
    <col min="14" max="14" width="10.140625" style="1" customWidth="1"/>
    <col min="15" max="16384" width="9.140625" style="1" customWidth="1"/>
  </cols>
  <sheetData>
    <row r="2" spans="3:15" ht="12.75">
      <c r="C2" s="3" t="s">
        <v>48</v>
      </c>
      <c r="D2" s="3"/>
      <c r="E2" s="3"/>
      <c r="F2" s="3"/>
      <c r="G2" s="3"/>
      <c r="H2" s="3"/>
      <c r="I2" s="3"/>
      <c r="J2" s="3"/>
      <c r="K2" s="30"/>
      <c r="L2" s="31"/>
      <c r="M2" s="31" t="s">
        <v>41</v>
      </c>
      <c r="N2" s="31"/>
      <c r="O2" s="3"/>
    </row>
    <row r="3" spans="3:13" ht="10.5">
      <c r="C3" s="47"/>
      <c r="M3" s="46" t="s">
        <v>50</v>
      </c>
    </row>
    <row r="4" ht="10.5">
      <c r="C4" s="8" t="s">
        <v>25</v>
      </c>
    </row>
    <row r="5" ht="10.5">
      <c r="C5" s="8" t="s">
        <v>7</v>
      </c>
    </row>
    <row r="6" ht="10.5">
      <c r="C6" s="50" t="s">
        <v>54</v>
      </c>
    </row>
    <row r="7" spans="3:15" ht="10.5">
      <c r="C7" s="1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9" spans="3:9" ht="10.5">
      <c r="C9" s="26" t="s">
        <v>35</v>
      </c>
      <c r="D9" s="26"/>
      <c r="E9" s="26"/>
      <c r="F9" s="26"/>
      <c r="G9" s="26"/>
      <c r="H9" s="26"/>
      <c r="I9" s="26" t="s">
        <v>22</v>
      </c>
    </row>
    <row r="10" spans="3:12" ht="10.5">
      <c r="C10" s="1" t="s">
        <v>19</v>
      </c>
      <c r="E10" s="10">
        <v>100000</v>
      </c>
      <c r="I10" s="1" t="s">
        <v>23</v>
      </c>
      <c r="L10" s="29">
        <f>_XLL.PMTBF(LoanAmount+AdvancedFees,DrawDate,NumPmts,IntRate,FinBal,DayCount,PeriodsInt)</f>
        <v>-1120.9512086494549</v>
      </c>
    </row>
    <row r="11" spans="3:13" ht="10.5">
      <c r="C11" s="1" t="s">
        <v>29</v>
      </c>
      <c r="E11" s="10">
        <v>1000</v>
      </c>
      <c r="I11" s="1" t="s">
        <v>38</v>
      </c>
      <c r="L11" s="23">
        <f>_XLL.IRRT(Dates,LoanPmts,,,,3)</f>
        <v>0.06167793157511006</v>
      </c>
      <c r="M11" s="24" t="s">
        <v>31</v>
      </c>
    </row>
    <row r="12" spans="3:13" ht="10.5">
      <c r="C12" s="1" t="s">
        <v>30</v>
      </c>
      <c r="E12" s="10">
        <v>1000</v>
      </c>
      <c r="I12" s="1" t="s">
        <v>40</v>
      </c>
      <c r="L12" s="23">
        <f>_XLL.IRRT(Dates,cashFlows,,,,3)</f>
        <v>0.06732559515501545</v>
      </c>
      <c r="M12" s="24" t="s">
        <v>31</v>
      </c>
    </row>
    <row r="13" spans="3:13" ht="10.5">
      <c r="C13" s="1" t="s">
        <v>20</v>
      </c>
      <c r="E13" s="9">
        <v>38355</v>
      </c>
      <c r="F13" s="44">
        <f>IF(_XLL.ISBD(DrawDate,ABS(MAX(PeriodsInt)))=FALSE,"Error - must be a Business Day","")</f>
      </c>
      <c r="I13" s="1" t="s">
        <v>39</v>
      </c>
      <c r="L13" s="41">
        <f>IRR(M37:M165,L12/M13)*M13</f>
        <v>0.06795426420885257</v>
      </c>
      <c r="M13" s="25">
        <f>_XLL.NUMPERS(PeriodsInt)</f>
        <v>12</v>
      </c>
    </row>
    <row r="14" spans="3:13" ht="10.5">
      <c r="C14" s="1" t="s">
        <v>21</v>
      </c>
      <c r="E14" s="40">
        <f>10*12</f>
        <v>120</v>
      </c>
      <c r="F14" s="45">
        <f>NumPmts/_XLL.NUMPERS(PeriodsInt)</f>
        <v>10</v>
      </c>
      <c r="I14" s="1" t="s">
        <v>47</v>
      </c>
      <c r="L14" s="42">
        <f>_XLL.DPP(FirstPmtDate,NumPmts-1,PeriodsInt)</f>
        <v>42005</v>
      </c>
      <c r="M14" s="8" t="str">
        <f>" "&amp;_XLL.DAYNAME(RepDate)</f>
        <v> Thursday</v>
      </c>
    </row>
    <row r="15" spans="3:13" ht="10.5">
      <c r="C15" s="1" t="s">
        <v>45</v>
      </c>
      <c r="E15" s="39">
        <v>0.06</v>
      </c>
      <c r="I15" s="1" t="s">
        <v>34</v>
      </c>
      <c r="L15" s="11">
        <f>_XLL.LOOKUPNUM(Dates,CloseBals,RepDate)</f>
        <v>7.620428732479922E-10</v>
      </c>
      <c r="M15" s="44">
        <f>IF(ABS(L15-FinBal)&gt;=0.5,"Calculation Error - Final Balance not correct.","")</f>
      </c>
    </row>
    <row r="16" spans="3:5" ht="10.5">
      <c r="C16" s="1" t="s">
        <v>24</v>
      </c>
      <c r="E16" s="10">
        <v>0</v>
      </c>
    </row>
    <row r="17" spans="10:13" ht="10.5">
      <c r="J17" s="26" t="s">
        <v>49</v>
      </c>
      <c r="L17" s="5"/>
      <c r="M17" s="5" t="s">
        <v>43</v>
      </c>
    </row>
    <row r="18" spans="3:15" ht="10.5">
      <c r="C18" s="1" t="s">
        <v>1</v>
      </c>
      <c r="E18" s="13">
        <v>3</v>
      </c>
      <c r="J18" s="5" t="s">
        <v>42</v>
      </c>
      <c r="K18" s="5" t="s">
        <v>28</v>
      </c>
      <c r="L18" s="5" t="s">
        <v>46</v>
      </c>
      <c r="M18" s="5" t="s">
        <v>44</v>
      </c>
      <c r="O18" s="5"/>
    </row>
    <row r="19" spans="5:15" ht="10.5">
      <c r="E19" s="8" t="str">
        <f>_XLL.DESCRIBEDAYCOUNT(E18)</f>
        <v>Actual Days/365.</v>
      </c>
      <c r="F19" s="8"/>
      <c r="J19" s="32">
        <v>38443</v>
      </c>
      <c r="K19" s="35">
        <f>-10000</f>
        <v>-10000</v>
      </c>
      <c r="L19" s="43">
        <f>_XLL.DIFFP(J19,RepDate,PeriodsInt)*(J19&gt;0)</f>
        <v>117</v>
      </c>
      <c r="M19" s="29">
        <f>_XLL.SAFE(_XLL.PMTBF(K19,J19,L19,IntRate,0,DayCount,PeriodsInt),0)</f>
        <v>113.12612158108571</v>
      </c>
      <c r="N19" s="44">
        <f>IF(L19-INT(L19)&gt;0,"Input Error - Extra Payment must be on an interest date.","")</f>
      </c>
      <c r="O19" s="5"/>
    </row>
    <row r="20" spans="5:15" ht="10.5">
      <c r="E20" s="8"/>
      <c r="F20" s="8"/>
      <c r="J20" s="33">
        <f>_XLL.DPP(J19,24,PeriodsInt)</f>
        <v>39173</v>
      </c>
      <c r="K20" s="36">
        <f>-10000</f>
        <v>-10000</v>
      </c>
      <c r="L20" s="11">
        <f>_XLL.DIFFP(J20,RepDate,PeriodsInt)*(J20&gt;0)</f>
        <v>93</v>
      </c>
      <c r="M20" s="29">
        <f>_XLL.SAFE(_XLL.PMTBF(K20,J20,L20,IntRate,0,DayCount,PeriodsInt),0)</f>
        <v>134.75751971129765</v>
      </c>
      <c r="N20" s="44">
        <f>IF(L20-INT(L20)&gt;0,"Input Error - Extra Payment must be on an interest date.","")</f>
      </c>
      <c r="O20" s="5"/>
    </row>
    <row r="21" spans="5:15" ht="10.5">
      <c r="E21" s="5" t="s">
        <v>0</v>
      </c>
      <c r="J21" s="33"/>
      <c r="K21" s="36"/>
      <c r="L21" s="11">
        <f>_XLL.DIFFP(J21,RepDate,PeriodsInt)*(J21&gt;0)</f>
        <v>0</v>
      </c>
      <c r="M21" s="29">
        <f>_XLL.SAFE(_XLL.PMTBF(K21,J21,L21,IntRate,0,DayCount,PeriodsInt),0)</f>
        <v>0</v>
      </c>
      <c r="N21" s="44">
        <f>IF(L21-INT(L21)&gt;0,"Input Error - Extra Payment must be on an interest date.","")</f>
      </c>
      <c r="O21" s="5"/>
    </row>
    <row r="22" spans="5:15" ht="10.5">
      <c r="E22" s="5" t="s">
        <v>18</v>
      </c>
      <c r="J22" s="33"/>
      <c r="K22" s="36"/>
      <c r="L22" s="11">
        <f>_XLL.DIFFP(J22,RepDate,PeriodsInt)*(J22&gt;0)</f>
        <v>0</v>
      </c>
      <c r="M22" s="29">
        <f>_XLL.SAFE(_XLL.PMTBF(K22,J22,L22,IntRate,0,DayCount,PeriodsInt),0)</f>
        <v>0</v>
      </c>
      <c r="N22" s="44">
        <f>IF(L29-INT(L29)&gt;0,"Input Error - Extra Payment must be on an interest date.","")</f>
      </c>
      <c r="O22" s="5"/>
    </row>
    <row r="23" spans="5:15" ht="10.5">
      <c r="E23" s="20">
        <v>-12</v>
      </c>
      <c r="J23" s="33"/>
      <c r="K23" s="36"/>
      <c r="L23" s="11">
        <f>_XLL.DIFFP(J23,RepDate,PeriodsInt)*(J23&gt;0)</f>
        <v>0</v>
      </c>
      <c r="M23" s="29">
        <f>_XLL.SAFE(_XLL.PMTBF(K23,J23,L23,IntRate,0,DayCount,PeriodsInt),0)</f>
        <v>0</v>
      </c>
      <c r="O23" s="5"/>
    </row>
    <row r="24" spans="5:13" ht="10.5">
      <c r="E24" s="21"/>
      <c r="J24" s="33"/>
      <c r="K24" s="36"/>
      <c r="L24" s="11">
        <f>_XLL.DIFFP(J24,RepDate,PeriodsInt)*(J24&gt;0)</f>
        <v>0</v>
      </c>
      <c r="M24" s="29">
        <f>_XLL.SAFE(_XLL.PMTBF(K24,J24,L24,IntRate,0,DayCount,PeriodsInt),0)</f>
        <v>0</v>
      </c>
    </row>
    <row r="25" spans="1:13" ht="10.5">
      <c r="A25" s="18" t="s">
        <v>8</v>
      </c>
      <c r="E25" s="21"/>
      <c r="J25" s="33"/>
      <c r="K25" s="36"/>
      <c r="L25" s="11">
        <f>_XLL.DIFFP(J25,RepDate,PeriodsInt)*(J25&gt;0)</f>
        <v>0</v>
      </c>
      <c r="M25" s="29">
        <f>_XLL.SAFE(_XLL.PMTBF(K25,J25,L25,IntRate,0,DayCount,PeriodsInt),0)</f>
        <v>0</v>
      </c>
    </row>
    <row r="26" spans="1:13" ht="10.5">
      <c r="A26" s="18" t="s">
        <v>9</v>
      </c>
      <c r="E26" s="21"/>
      <c r="J26" s="33"/>
      <c r="K26" s="36"/>
      <c r="L26" s="11">
        <f>_XLL.DIFFP(J26,RepDate,PeriodsInt)*(J26&gt;0)</f>
        <v>0</v>
      </c>
      <c r="M26" s="29">
        <f>_XLL.SAFE(_XLL.PMTBF(K26,J26,L26,IntRate,0,DayCount,PeriodsInt),0)</f>
        <v>0</v>
      </c>
    </row>
    <row r="27" spans="1:13" ht="10.5">
      <c r="A27" s="18" t="s">
        <v>10</v>
      </c>
      <c r="E27" s="21"/>
      <c r="J27" s="33"/>
      <c r="K27" s="36"/>
      <c r="L27" s="11">
        <f>_XLL.DIFFP(J27,RepDate,PeriodsInt)*(J27&gt;0)</f>
        <v>0</v>
      </c>
      <c r="M27" s="29">
        <f>_XLL.SAFE(_XLL.PMTBF(K27,J27,L27,IntRate,0,DayCount,PeriodsInt),0)</f>
        <v>0</v>
      </c>
    </row>
    <row r="28" spans="1:13" ht="10.5">
      <c r="A28" s="18" t="s">
        <v>36</v>
      </c>
      <c r="E28" s="21"/>
      <c r="J28" s="33"/>
      <c r="K28" s="36"/>
      <c r="L28" s="11">
        <f>_XLL.DIFFP(J28,RepDate,PeriodsInt)*(J28&gt;0)</f>
        <v>0</v>
      </c>
      <c r="M28" s="29">
        <f>_XLL.SAFE(_XLL.PMTBF(K28,J28,L28,IntRate,0,DayCount,PeriodsInt),0)</f>
        <v>0</v>
      </c>
    </row>
    <row r="29" spans="5:13" ht="10.5">
      <c r="E29" s="22"/>
      <c r="J29" s="34"/>
      <c r="K29" s="37"/>
      <c r="L29" s="11">
        <f>_XLL.DIFFP(J29,RepDate,PeriodsInt)*(J29&gt;0)</f>
        <v>0</v>
      </c>
      <c r="M29" s="29">
        <f>_XLL.SAFE(_XLL.PMTBF(K29,J29,L29,IntRate,0,DayCount,PeriodsInt),0)</f>
        <v>0</v>
      </c>
    </row>
    <row r="30" spans="1:7" ht="10.5">
      <c r="A30" s="19"/>
      <c r="C30" s="6"/>
      <c r="D30" s="7"/>
      <c r="E30" s="8" t="str">
        <f>_XLL.DESCRIBEPERIODS(PeriodsInt)</f>
        <v> in arrear, monthly (1 Jan payment of Dec accrual, etc) </v>
      </c>
      <c r="F30" s="6"/>
      <c r="G30" s="6"/>
    </row>
    <row r="31" spans="1:7" ht="10.5">
      <c r="A31" s="19"/>
      <c r="G31" s="6"/>
    </row>
    <row r="32" spans="1:7" ht="10.5">
      <c r="A32" s="19"/>
      <c r="G32" s="6"/>
    </row>
    <row r="33" spans="1:9" ht="10.5">
      <c r="A33" s="19"/>
      <c r="E33" s="27" t="s">
        <v>37</v>
      </c>
      <c r="F33" s="27"/>
      <c r="G33" s="28"/>
      <c r="H33" s="27"/>
      <c r="I33" s="27"/>
    </row>
    <row r="34" spans="3:13" ht="10.5">
      <c r="C34" s="48" t="s">
        <v>51</v>
      </c>
      <c r="D34" s="7"/>
      <c r="F34" s="6"/>
      <c r="G34" s="5" t="s">
        <v>26</v>
      </c>
      <c r="H34" s="7"/>
      <c r="K34" s="5" t="s">
        <v>5</v>
      </c>
      <c r="M34" s="5" t="s">
        <v>32</v>
      </c>
    </row>
    <row r="35" spans="3:14" ht="10.5">
      <c r="C35" s="49" t="s">
        <v>52</v>
      </c>
      <c r="E35" s="7" t="s">
        <v>0</v>
      </c>
      <c r="F35" s="5" t="s">
        <v>2</v>
      </c>
      <c r="G35" s="5" t="s">
        <v>27</v>
      </c>
      <c r="H35" s="7" t="s">
        <v>3</v>
      </c>
      <c r="I35" s="5" t="s">
        <v>4</v>
      </c>
      <c r="J35" s="5"/>
      <c r="K35" s="5" t="s">
        <v>6</v>
      </c>
      <c r="L35" s="5"/>
      <c r="M35" s="5" t="s">
        <v>33</v>
      </c>
      <c r="N35" s="5"/>
    </row>
    <row r="36" spans="3:14" ht="10.5">
      <c r="C36" s="48" t="s">
        <v>53</v>
      </c>
      <c r="D36" s="7"/>
      <c r="E36" s="5"/>
      <c r="F36" s="6"/>
      <c r="G36" s="5" t="s">
        <v>28</v>
      </c>
      <c r="H36" s="7"/>
      <c r="I36" s="5"/>
      <c r="J36" s="5"/>
      <c r="K36" s="7">
        <v>0</v>
      </c>
      <c r="L36" s="5"/>
      <c r="M36" s="5"/>
      <c r="N36" s="5"/>
    </row>
    <row r="37" spans="3:14" ht="10.5">
      <c r="C37" s="4">
        <f>DrawDate</f>
        <v>38355</v>
      </c>
      <c r="D37" s="38"/>
      <c r="E37" s="11">
        <f>-_XLL.CON(C37,C38,DrawDate,RepDate,IntRate*SUM(K35),DayCount,PeriodsInt,1)</f>
        <v>0</v>
      </c>
      <c r="F37" s="11">
        <f>G37-E37</f>
        <v>101000</v>
      </c>
      <c r="G37" s="15">
        <f>LoanAmount+AdvancedFees</f>
        <v>101000</v>
      </c>
      <c r="H37" s="11">
        <f>-AdvancedFees-SepFees</f>
        <v>-2000</v>
      </c>
      <c r="I37" s="12">
        <f>SUM(G37:H37)</f>
        <v>99000</v>
      </c>
      <c r="J37" s="7"/>
      <c r="K37" s="15">
        <f>K36+F37</f>
        <v>101000</v>
      </c>
      <c r="L37" s="5"/>
      <c r="M37" s="7">
        <f>LoanAmount-AdvancedFees-SepFees</f>
        <v>98000</v>
      </c>
      <c r="N37" s="15"/>
    </row>
    <row r="38" spans="3:14" ht="10.5">
      <c r="C38" s="4">
        <f>_XLL.NEXTDATESEQ(C37,PeriodsInt)</f>
        <v>38384</v>
      </c>
      <c r="D38" s="38"/>
      <c r="E38" s="11">
        <f>-_XLL.CON(C38,C39,DrawDate,RepDate,IntRate*SUM(K37),DayCount,PeriodsInt,1)</f>
        <v>-481.4794520547945</v>
      </c>
      <c r="F38" s="11">
        <f>G38-E38</f>
        <v>-639.4717565946604</v>
      </c>
      <c r="G38" s="15">
        <f>_XLL.LEVEL(C37,DrawDate,RepDate,RegPmt)+_XLL.LEVEL(C37,XDates,RepDate,XPmts)+_XLL.MKPMTS(C38,C39,XDates,XCap)</f>
        <v>-1120.9512086494549</v>
      </c>
      <c r="H38" s="11"/>
      <c r="I38" s="12">
        <f>SUM(G38:H38)</f>
        <v>-1120.9512086494549</v>
      </c>
      <c r="J38" s="7"/>
      <c r="K38" s="15">
        <f aca="true" t="shared" si="0" ref="K38:K101">K37+F38</f>
        <v>100360.52824340534</v>
      </c>
      <c r="L38" s="5"/>
      <c r="M38" s="7">
        <f>I38</f>
        <v>-1120.9512086494549</v>
      </c>
      <c r="N38" s="15"/>
    </row>
    <row r="39" spans="3:14" ht="10.5">
      <c r="C39" s="4">
        <f>_XLL.NEXTDATESEQ(C38,PeriodsInt)</f>
        <v>38412</v>
      </c>
      <c r="D39" s="38"/>
      <c r="E39" s="11">
        <f>-_XLL.CON(C39,C40,DrawDate,RepDate,IntRate*SUM(K38),DayCount,PeriodsInt,1)</f>
        <v>-461.9333902710163</v>
      </c>
      <c r="F39" s="11">
        <f aca="true" t="shared" si="1" ref="F39:F102">G39-E39</f>
        <v>-659.0178183784385</v>
      </c>
      <c r="G39" s="15">
        <f>_XLL.LEVEL(C38,DrawDate,RepDate,RegPmt)+_XLL.LEVEL(C38,XDates,RepDate,XPmts)+_XLL.MKPMTS(C39,C40,XDates,XCap)</f>
        <v>-1120.9512086494549</v>
      </c>
      <c r="H39" s="11"/>
      <c r="I39" s="12">
        <f aca="true" t="shared" si="2" ref="I39:I101">SUM(G39:H39)</f>
        <v>-1120.9512086494549</v>
      </c>
      <c r="J39" s="7"/>
      <c r="K39" s="15">
        <f t="shared" si="0"/>
        <v>99701.51042502689</v>
      </c>
      <c r="L39" s="5"/>
      <c r="M39" s="7">
        <f aca="true" t="shared" si="3" ref="M39:M102">I39</f>
        <v>-1120.9512086494549</v>
      </c>
      <c r="N39" s="15"/>
    </row>
    <row r="40" spans="3:14" ht="10.5">
      <c r="C40" s="4">
        <f>_XLL.NEXTDATESEQ(C39,PeriodsInt)</f>
        <v>38443</v>
      </c>
      <c r="D40" s="38"/>
      <c r="E40" s="11">
        <f>-_XLL.CON(C40,C41,DrawDate,RepDate,IntRate*SUM(K39),DayCount,PeriodsInt,1)</f>
        <v>-508.0679709330137</v>
      </c>
      <c r="F40" s="11">
        <f t="shared" si="1"/>
        <v>-10612.88323771644</v>
      </c>
      <c r="G40" s="15">
        <f>_XLL.LEVEL(C39,DrawDate,RepDate,RegPmt)+_XLL.LEVEL(C39,XDates,RepDate,XPmts)+_XLL.MKPMTS(C40,C41,XDates,XCap)</f>
        <v>-11120.951208649454</v>
      </c>
      <c r="H40" s="11"/>
      <c r="I40" s="12">
        <f t="shared" si="2"/>
        <v>-11120.951208649454</v>
      </c>
      <c r="J40" s="7"/>
      <c r="K40" s="15">
        <f t="shared" si="0"/>
        <v>89088.62718731046</v>
      </c>
      <c r="L40" s="5"/>
      <c r="M40" s="7">
        <f t="shared" si="3"/>
        <v>-11120.951208649454</v>
      </c>
      <c r="N40" s="15"/>
    </row>
    <row r="41" spans="3:14" ht="10.5">
      <c r="C41" s="4">
        <f>_XLL.NEXTDATESEQ(C40,PeriodsInt)</f>
        <v>38473</v>
      </c>
      <c r="D41" s="38"/>
      <c r="E41" s="11">
        <f>-_XLL.CON(C41,C42,DrawDate,RepDate,IntRate*SUM(K40),DayCount,PeriodsInt,1)</f>
        <v>-439.3411751702981</v>
      </c>
      <c r="F41" s="11">
        <f t="shared" si="1"/>
        <v>-568.483911898071</v>
      </c>
      <c r="G41" s="15">
        <f>_XLL.LEVEL(C40,DrawDate,RepDate,RegPmt)+_XLL.LEVEL(C40,XDates,RepDate,XPmts)+_XLL.MKPMTS(C41,C42,XDates,XCap)</f>
        <v>-1007.8250870683692</v>
      </c>
      <c r="H41" s="11"/>
      <c r="I41" s="12">
        <f t="shared" si="2"/>
        <v>-1007.8250870683692</v>
      </c>
      <c r="J41" s="7"/>
      <c r="K41" s="15">
        <f t="shared" si="0"/>
        <v>88520.14327541238</v>
      </c>
      <c r="L41" s="5"/>
      <c r="M41" s="7">
        <f t="shared" si="3"/>
        <v>-1007.8250870683692</v>
      </c>
      <c r="N41" s="15"/>
    </row>
    <row r="42" spans="3:14" ht="10.5">
      <c r="C42" s="4">
        <f>_XLL.NEXTDATESEQ(C41,PeriodsInt)</f>
        <v>38504</v>
      </c>
      <c r="D42" s="38"/>
      <c r="E42" s="11">
        <f>-_XLL.CON(C42,C43,DrawDate,RepDate,IntRate*SUM(K41),DayCount,PeriodsInt,1)</f>
        <v>-451.08894929388225</v>
      </c>
      <c r="F42" s="11">
        <f t="shared" si="1"/>
        <v>-556.7361377744869</v>
      </c>
      <c r="G42" s="15">
        <f>_XLL.LEVEL(C41,DrawDate,RepDate,RegPmt)+_XLL.LEVEL(C41,XDates,RepDate,XPmts)+_XLL.MKPMTS(C42,C43,XDates,XCap)</f>
        <v>-1007.8250870683692</v>
      </c>
      <c r="H42" s="11"/>
      <c r="I42" s="12">
        <f t="shared" si="2"/>
        <v>-1007.8250870683692</v>
      </c>
      <c r="J42" s="7"/>
      <c r="K42" s="15">
        <f t="shared" si="0"/>
        <v>87963.4071376379</v>
      </c>
      <c r="L42" s="5"/>
      <c r="M42" s="7">
        <f t="shared" si="3"/>
        <v>-1007.8250870683692</v>
      </c>
      <c r="N42" s="15"/>
    </row>
    <row r="43" spans="3:14" ht="10.5">
      <c r="C43" s="4">
        <f>_XLL.NEXTDATESEQ(C42,PeriodsInt)</f>
        <v>38534</v>
      </c>
      <c r="D43" s="38"/>
      <c r="E43" s="11">
        <f>-_XLL.CON(C43,C44,DrawDate,RepDate,IntRate*SUM(K42),DayCount,PeriodsInt,1)</f>
        <v>-433.79214478835127</v>
      </c>
      <c r="F43" s="11">
        <f t="shared" si="1"/>
        <v>-574.0329422800179</v>
      </c>
      <c r="G43" s="15">
        <f>_XLL.LEVEL(C42,DrawDate,RepDate,RegPmt)+_XLL.LEVEL(C42,XDates,RepDate,XPmts)+_XLL.MKPMTS(C43,C44,XDates,XCap)</f>
        <v>-1007.8250870683692</v>
      </c>
      <c r="H43" s="11"/>
      <c r="I43" s="12">
        <f t="shared" si="2"/>
        <v>-1007.8250870683692</v>
      </c>
      <c r="J43" s="7"/>
      <c r="K43" s="15">
        <f t="shared" si="0"/>
        <v>87389.37419535789</v>
      </c>
      <c r="L43" s="5"/>
      <c r="M43" s="7">
        <f t="shared" si="3"/>
        <v>-1007.8250870683692</v>
      </c>
      <c r="N43" s="15"/>
    </row>
    <row r="44" spans="3:14" ht="10.5">
      <c r="C44" s="4">
        <f>_XLL.NEXTDATESEQ(C43,PeriodsInt)</f>
        <v>38565</v>
      </c>
      <c r="D44" s="38"/>
      <c r="E44" s="11">
        <f>-_XLL.CON(C44,C45,DrawDate,RepDate,IntRate*SUM(K43),DayCount,PeriodsInt,1)</f>
        <v>-445.3266739818237</v>
      </c>
      <c r="F44" s="11">
        <f t="shared" si="1"/>
        <v>-562.4984130865455</v>
      </c>
      <c r="G44" s="15">
        <f>_XLL.LEVEL(C43,DrawDate,RepDate,RegPmt)+_XLL.LEVEL(C43,XDates,RepDate,XPmts)+_XLL.MKPMTS(C44,C45,XDates,XCap)</f>
        <v>-1007.8250870683692</v>
      </c>
      <c r="H44" s="11"/>
      <c r="I44" s="12">
        <f t="shared" si="2"/>
        <v>-1007.8250870683692</v>
      </c>
      <c r="J44" s="7"/>
      <c r="K44" s="15">
        <f t="shared" si="0"/>
        <v>86826.87578227134</v>
      </c>
      <c r="L44" s="5"/>
      <c r="M44" s="7">
        <f t="shared" si="3"/>
        <v>-1007.8250870683692</v>
      </c>
      <c r="N44" s="15"/>
    </row>
    <row r="45" spans="3:14" ht="10.5">
      <c r="C45" s="4">
        <f>_XLL.NEXTDATESEQ(C44,PeriodsInt)</f>
        <v>38596</v>
      </c>
      <c r="D45" s="38"/>
      <c r="E45" s="11">
        <f>-_XLL.CON(C45,C46,DrawDate,RepDate,IntRate*SUM(K44),DayCount,PeriodsInt,1)</f>
        <v>-442.4602437123964</v>
      </c>
      <c r="F45" s="11">
        <f t="shared" si="1"/>
        <v>-565.3648433559728</v>
      </c>
      <c r="G45" s="15">
        <f>_XLL.LEVEL(C44,DrawDate,RepDate,RegPmt)+_XLL.LEVEL(C44,XDates,RepDate,XPmts)+_XLL.MKPMTS(C45,C46,XDates,XCap)</f>
        <v>-1007.8250870683692</v>
      </c>
      <c r="H45" s="11"/>
      <c r="I45" s="12">
        <f t="shared" si="2"/>
        <v>-1007.8250870683692</v>
      </c>
      <c r="J45" s="7"/>
      <c r="K45" s="15">
        <f t="shared" si="0"/>
        <v>86261.51093891537</v>
      </c>
      <c r="L45" s="5"/>
      <c r="M45" s="7">
        <f t="shared" si="3"/>
        <v>-1007.8250870683692</v>
      </c>
      <c r="N45" s="15"/>
    </row>
    <row r="46" spans="3:14" ht="10.5">
      <c r="C46" s="4">
        <f>_XLL.NEXTDATESEQ(C45,PeriodsInt)</f>
        <v>38626</v>
      </c>
      <c r="D46" s="38"/>
      <c r="E46" s="11">
        <f>-_XLL.CON(C46,C47,DrawDate,RepDate,IntRate*SUM(K45),DayCount,PeriodsInt,1)</f>
        <v>-425.39923202752783</v>
      </c>
      <c r="F46" s="11">
        <f t="shared" si="1"/>
        <v>-582.4258550408413</v>
      </c>
      <c r="G46" s="15">
        <f>_XLL.LEVEL(C45,DrawDate,RepDate,RegPmt)+_XLL.LEVEL(C45,XDates,RepDate,XPmts)+_XLL.MKPMTS(C46,C47,XDates,XCap)</f>
        <v>-1007.8250870683692</v>
      </c>
      <c r="H46" s="11"/>
      <c r="I46" s="12">
        <f t="shared" si="2"/>
        <v>-1007.8250870683692</v>
      </c>
      <c r="J46" s="7"/>
      <c r="K46" s="15">
        <f t="shared" si="0"/>
        <v>85679.08508387452</v>
      </c>
      <c r="L46" s="5"/>
      <c r="M46" s="7">
        <f t="shared" si="3"/>
        <v>-1007.8250870683692</v>
      </c>
      <c r="N46" s="15"/>
    </row>
    <row r="47" spans="3:14" ht="10.5">
      <c r="C47" s="4">
        <f>_XLL.NEXTDATESEQ(C46,PeriodsInt)</f>
        <v>38657</v>
      </c>
      <c r="D47" s="38"/>
      <c r="E47" s="11">
        <f>-_XLL.CON(C47,C48,DrawDate,RepDate,IntRate*SUM(K46),DayCount,PeriodsInt,1)</f>
        <v>-436.61122809864827</v>
      </c>
      <c r="F47" s="11">
        <f t="shared" si="1"/>
        <v>-571.2138589697208</v>
      </c>
      <c r="G47" s="15">
        <f>_XLL.LEVEL(C46,DrawDate,RepDate,RegPmt)+_XLL.LEVEL(C46,XDates,RepDate,XPmts)+_XLL.MKPMTS(C47,C48,XDates,XCap)</f>
        <v>-1007.8250870683692</v>
      </c>
      <c r="H47" s="11"/>
      <c r="I47" s="12">
        <f t="shared" si="2"/>
        <v>-1007.8250870683692</v>
      </c>
      <c r="J47" s="7"/>
      <c r="K47" s="15">
        <f t="shared" si="0"/>
        <v>85107.8712249048</v>
      </c>
      <c r="L47" s="5"/>
      <c r="M47" s="7">
        <f t="shared" si="3"/>
        <v>-1007.8250870683692</v>
      </c>
      <c r="N47" s="15"/>
    </row>
    <row r="48" spans="3:14" ht="10.5">
      <c r="C48" s="4">
        <f>_XLL.NEXTDATESEQ(C47,PeriodsInt)</f>
        <v>38687</v>
      </c>
      <c r="D48" s="38"/>
      <c r="E48" s="11">
        <f>-_XLL.CON(C48,C49,DrawDate,RepDate,IntRate*SUM(K47),DayCount,PeriodsInt,1)</f>
        <v>-419.7100498762428</v>
      </c>
      <c r="F48" s="11">
        <f t="shared" si="1"/>
        <v>-588.1150371921264</v>
      </c>
      <c r="G48" s="15">
        <f>_XLL.LEVEL(C47,DrawDate,RepDate,RegPmt)+_XLL.LEVEL(C47,XDates,RepDate,XPmts)+_XLL.MKPMTS(C48,C49,XDates,XCap)</f>
        <v>-1007.8250870683692</v>
      </c>
      <c r="H48" s="11"/>
      <c r="I48" s="12">
        <f t="shared" si="2"/>
        <v>-1007.8250870683692</v>
      </c>
      <c r="J48" s="7"/>
      <c r="K48" s="15">
        <f t="shared" si="0"/>
        <v>84519.75618771267</v>
      </c>
      <c r="L48" s="5"/>
      <c r="M48" s="7">
        <f t="shared" si="3"/>
        <v>-1007.8250870683692</v>
      </c>
      <c r="N48" s="15"/>
    </row>
    <row r="49" spans="1:14" ht="10.5">
      <c r="A49" s="16"/>
      <c r="C49" s="4">
        <f>_XLL.NEXTDATESEQ(C48,PeriodsInt)</f>
        <v>38718</v>
      </c>
      <c r="D49" s="38"/>
      <c r="E49" s="11">
        <f>-_XLL.CON(C49,C50,DrawDate,RepDate,IntRate*SUM(K48),DayCount,PeriodsInt,1)</f>
        <v>-430.70341509354944</v>
      </c>
      <c r="F49" s="11">
        <f t="shared" si="1"/>
        <v>-577.1216719748197</v>
      </c>
      <c r="G49" s="15">
        <f>_XLL.LEVEL(C48,DrawDate,RepDate,RegPmt)+_XLL.LEVEL(C48,XDates,RepDate,XPmts)+_XLL.MKPMTS(C49,C50,XDates,XCap)</f>
        <v>-1007.8250870683692</v>
      </c>
      <c r="H49" s="11"/>
      <c r="I49" s="12">
        <f t="shared" si="2"/>
        <v>-1007.8250870683692</v>
      </c>
      <c r="J49" s="7"/>
      <c r="K49" s="15">
        <f t="shared" si="0"/>
        <v>83942.63451573785</v>
      </c>
      <c r="L49" s="5"/>
      <c r="M49" s="7">
        <f t="shared" si="3"/>
        <v>-1007.8250870683692</v>
      </c>
      <c r="N49" s="15"/>
    </row>
    <row r="50" spans="1:14" ht="10.5">
      <c r="A50" s="16" t="s">
        <v>12</v>
      </c>
      <c r="C50" s="4">
        <f>_XLL.NEXTDATESEQ(C49,PeriodsInt)</f>
        <v>38749</v>
      </c>
      <c r="D50" s="38"/>
      <c r="E50" s="11">
        <f>-_XLL.CON(C50,C51,DrawDate,RepDate,IntRate*SUM(K49),DayCount,PeriodsInt,1)</f>
        <v>-427.76246629937646</v>
      </c>
      <c r="F50" s="11">
        <f t="shared" si="1"/>
        <v>-580.0626207689927</v>
      </c>
      <c r="G50" s="15">
        <f>_XLL.LEVEL(C49,DrawDate,RepDate,RegPmt)+_XLL.LEVEL(C49,XDates,RepDate,XPmts)+_XLL.MKPMTS(C50,C51,XDates,XCap)</f>
        <v>-1007.8250870683692</v>
      </c>
      <c r="H50" s="11"/>
      <c r="I50" s="12">
        <f t="shared" si="2"/>
        <v>-1007.8250870683692</v>
      </c>
      <c r="J50" s="7"/>
      <c r="K50" s="15">
        <f t="shared" si="0"/>
        <v>83362.57189496886</v>
      </c>
      <c r="L50" s="5"/>
      <c r="M50" s="7">
        <f t="shared" si="3"/>
        <v>-1007.8250870683692</v>
      </c>
      <c r="N50" s="15"/>
    </row>
    <row r="51" spans="1:14" ht="10.5">
      <c r="A51" s="16" t="s">
        <v>11</v>
      </c>
      <c r="C51" s="4">
        <f>_XLL.NEXTDATESEQ(C50,PeriodsInt)</f>
        <v>38777</v>
      </c>
      <c r="D51" s="38"/>
      <c r="E51" s="11">
        <f>-_XLL.CON(C51,C52,DrawDate,RepDate,IntRate*SUM(K50),DayCount,PeriodsInt,1)</f>
        <v>-383.69622132478816</v>
      </c>
      <c r="F51" s="11">
        <f t="shared" si="1"/>
        <v>-624.128865743581</v>
      </c>
      <c r="G51" s="15">
        <f>_XLL.LEVEL(C50,DrawDate,RepDate,RegPmt)+_XLL.LEVEL(C50,XDates,RepDate,XPmts)+_XLL.MKPMTS(C51,C52,XDates,XCap)</f>
        <v>-1007.8250870683692</v>
      </c>
      <c r="H51" s="11"/>
      <c r="I51" s="12">
        <f t="shared" si="2"/>
        <v>-1007.8250870683692</v>
      </c>
      <c r="J51" s="7"/>
      <c r="K51" s="15">
        <f t="shared" si="0"/>
        <v>82738.44302922528</v>
      </c>
      <c r="L51" s="5"/>
      <c r="M51" s="7">
        <f t="shared" si="3"/>
        <v>-1007.8250870683692</v>
      </c>
      <c r="N51" s="15"/>
    </row>
    <row r="52" spans="1:14" ht="10.5">
      <c r="A52" s="17" t="s">
        <v>8</v>
      </c>
      <c r="C52" s="4">
        <f>_XLL.NEXTDATESEQ(C51,PeriodsInt)</f>
        <v>38808</v>
      </c>
      <c r="D52" s="38"/>
      <c r="E52" s="11">
        <f>-_XLL.CON(C52,C53,DrawDate,RepDate,IntRate*SUM(K51),DayCount,PeriodsInt,1)</f>
        <v>-421.6260384502986</v>
      </c>
      <c r="F52" s="11">
        <f t="shared" si="1"/>
        <v>-586.1990486180705</v>
      </c>
      <c r="G52" s="15">
        <f>_XLL.LEVEL(C51,DrawDate,RepDate,RegPmt)+_XLL.LEVEL(C51,XDates,RepDate,XPmts)+_XLL.MKPMTS(C52,C53,XDates,XCap)</f>
        <v>-1007.8250870683692</v>
      </c>
      <c r="H52" s="11"/>
      <c r="I52" s="12">
        <f t="shared" si="2"/>
        <v>-1007.8250870683692</v>
      </c>
      <c r="J52" s="7"/>
      <c r="K52" s="15">
        <f t="shared" si="0"/>
        <v>82152.2439806072</v>
      </c>
      <c r="L52" s="5"/>
      <c r="M52" s="7">
        <f t="shared" si="3"/>
        <v>-1007.8250870683692</v>
      </c>
      <c r="N52" s="15"/>
    </row>
    <row r="53" spans="1:14" ht="10.5">
      <c r="A53" s="17" t="s">
        <v>9</v>
      </c>
      <c r="C53" s="4">
        <f>_XLL.NEXTDATESEQ(C52,PeriodsInt)</f>
        <v>38838</v>
      </c>
      <c r="D53" s="38"/>
      <c r="E53" s="11">
        <f>-_XLL.CON(C53,C54,DrawDate,RepDate,IntRate*SUM(K52),DayCount,PeriodsInt,1)</f>
        <v>-405.134353876967</v>
      </c>
      <c r="F53" s="11">
        <f t="shared" si="1"/>
        <v>-602.6907331914022</v>
      </c>
      <c r="G53" s="15">
        <f>_XLL.LEVEL(C52,DrawDate,RepDate,RegPmt)+_XLL.LEVEL(C52,XDates,RepDate,XPmts)+_XLL.MKPMTS(C53,C54,XDates,XCap)</f>
        <v>-1007.8250870683692</v>
      </c>
      <c r="H53" s="11"/>
      <c r="I53" s="12">
        <f t="shared" si="2"/>
        <v>-1007.8250870683692</v>
      </c>
      <c r="J53" s="7"/>
      <c r="K53" s="15">
        <f t="shared" si="0"/>
        <v>81549.55324741581</v>
      </c>
      <c r="L53" s="5"/>
      <c r="M53" s="7">
        <f t="shared" si="3"/>
        <v>-1007.8250870683692</v>
      </c>
      <c r="N53" s="15"/>
    </row>
    <row r="54" spans="1:14" ht="10.5">
      <c r="A54" s="17" t="s">
        <v>14</v>
      </c>
      <c r="C54" s="4">
        <f>_XLL.NEXTDATESEQ(C53,PeriodsInt)</f>
        <v>38869</v>
      </c>
      <c r="D54" s="38"/>
      <c r="E54" s="11">
        <f>-_XLL.CON(C54,C55,DrawDate,RepDate,IntRate*SUM(K53),DayCount,PeriodsInt,1)</f>
        <v>-415.5675864114887</v>
      </c>
      <c r="F54" s="11">
        <f t="shared" si="1"/>
        <v>-592.2575006568804</v>
      </c>
      <c r="G54" s="15">
        <f>_XLL.LEVEL(C53,DrawDate,RepDate,RegPmt)+_XLL.LEVEL(C53,XDates,RepDate,XPmts)+_XLL.MKPMTS(C54,C55,XDates,XCap)</f>
        <v>-1007.8250870683692</v>
      </c>
      <c r="H54" s="11"/>
      <c r="I54" s="12">
        <f t="shared" si="2"/>
        <v>-1007.8250870683692</v>
      </c>
      <c r="J54" s="7"/>
      <c r="K54" s="15">
        <f t="shared" si="0"/>
        <v>80957.29574675893</v>
      </c>
      <c r="L54" s="5"/>
      <c r="M54" s="7">
        <f t="shared" si="3"/>
        <v>-1007.8250870683692</v>
      </c>
      <c r="N54" s="15"/>
    </row>
    <row r="55" spans="1:14" ht="10.5">
      <c r="A55" s="17" t="s">
        <v>10</v>
      </c>
      <c r="C55" s="4">
        <f>_XLL.NEXTDATESEQ(C54,PeriodsInt)</f>
        <v>38899</v>
      </c>
      <c r="D55" s="38"/>
      <c r="E55" s="11">
        <f>-_XLL.CON(C55,C56,DrawDate,RepDate,IntRate*SUM(K54),DayCount,PeriodsInt,1)</f>
        <v>-399.24145847716727</v>
      </c>
      <c r="F55" s="11">
        <f t="shared" si="1"/>
        <v>-608.5836285912019</v>
      </c>
      <c r="G55" s="15">
        <f>_XLL.LEVEL(C54,DrawDate,RepDate,RegPmt)+_XLL.LEVEL(C54,XDates,RepDate,XPmts)+_XLL.MKPMTS(C55,C56,XDates,XCap)</f>
        <v>-1007.8250870683692</v>
      </c>
      <c r="H55" s="11"/>
      <c r="I55" s="12">
        <f t="shared" si="2"/>
        <v>-1007.8250870683692</v>
      </c>
      <c r="J55" s="7"/>
      <c r="K55" s="15">
        <f t="shared" si="0"/>
        <v>80348.71211816772</v>
      </c>
      <c r="L55" s="5"/>
      <c r="M55" s="7">
        <f t="shared" si="3"/>
        <v>-1007.8250870683692</v>
      </c>
      <c r="N55" s="15"/>
    </row>
    <row r="56" spans="1:14" ht="10.5">
      <c r="A56" s="17" t="s">
        <v>15</v>
      </c>
      <c r="C56" s="4">
        <f>_XLL.NEXTDATESEQ(C55,PeriodsInt)</f>
        <v>38930</v>
      </c>
      <c r="D56" s="38"/>
      <c r="E56" s="11">
        <f>-_XLL.CON(C56,C57,DrawDate,RepDate,IntRate*SUM(K55),DayCount,PeriodsInt,1)</f>
        <v>-409.44823161586834</v>
      </c>
      <c r="F56" s="11">
        <f t="shared" si="1"/>
        <v>-598.3768554525009</v>
      </c>
      <c r="G56" s="15">
        <f>_XLL.LEVEL(C55,DrawDate,RepDate,RegPmt)+_XLL.LEVEL(C55,XDates,RepDate,XPmts)+_XLL.MKPMTS(C56,C57,XDates,XCap)</f>
        <v>-1007.8250870683692</v>
      </c>
      <c r="H56" s="11"/>
      <c r="I56" s="12">
        <f t="shared" si="2"/>
        <v>-1007.8250870683692</v>
      </c>
      <c r="J56" s="7"/>
      <c r="K56" s="15">
        <f t="shared" si="0"/>
        <v>79750.33526271522</v>
      </c>
      <c r="L56" s="5"/>
      <c r="M56" s="7">
        <f t="shared" si="3"/>
        <v>-1007.8250870683692</v>
      </c>
      <c r="N56" s="15"/>
    </row>
    <row r="57" spans="1:14" ht="10.5">
      <c r="A57" s="17" t="s">
        <v>16</v>
      </c>
      <c r="C57" s="4">
        <f>_XLL.NEXTDATESEQ(C56,PeriodsInt)</f>
        <v>38961</v>
      </c>
      <c r="D57" s="38"/>
      <c r="E57" s="11">
        <f>-_XLL.CON(C57,C58,DrawDate,RepDate,IntRate*SUM(K56),DayCount,PeriodsInt,1)</f>
        <v>-406.39896873602817</v>
      </c>
      <c r="F57" s="11">
        <f t="shared" si="1"/>
        <v>-601.426118332341</v>
      </c>
      <c r="G57" s="15">
        <f>_XLL.LEVEL(C56,DrawDate,RepDate,RegPmt)+_XLL.LEVEL(C56,XDates,RepDate,XPmts)+_XLL.MKPMTS(C57,C58,XDates,XCap)</f>
        <v>-1007.8250870683692</v>
      </c>
      <c r="H57" s="11"/>
      <c r="I57" s="12">
        <f t="shared" si="2"/>
        <v>-1007.8250870683692</v>
      </c>
      <c r="J57" s="7"/>
      <c r="K57" s="15">
        <f t="shared" si="0"/>
        <v>79148.90914438288</v>
      </c>
      <c r="L57" s="5"/>
      <c r="M57" s="7">
        <f t="shared" si="3"/>
        <v>-1007.8250870683692</v>
      </c>
      <c r="N57" s="15"/>
    </row>
    <row r="58" spans="1:14" ht="10.5">
      <c r="A58" s="17" t="s">
        <v>17</v>
      </c>
      <c r="C58" s="4">
        <f>_XLL.NEXTDATESEQ(C57,PeriodsInt)</f>
        <v>38991</v>
      </c>
      <c r="D58" s="38"/>
      <c r="E58" s="11">
        <f>-_XLL.CON(C58,C59,DrawDate,RepDate,IntRate*SUM(K57),DayCount,PeriodsInt,1)</f>
        <v>-390.3233875613402</v>
      </c>
      <c r="F58" s="11">
        <f t="shared" si="1"/>
        <v>-617.5016995070289</v>
      </c>
      <c r="G58" s="15">
        <f>_XLL.LEVEL(C57,DrawDate,RepDate,RegPmt)+_XLL.LEVEL(C57,XDates,RepDate,XPmts)+_XLL.MKPMTS(C58,C59,XDates,XCap)</f>
        <v>-1007.8250870683692</v>
      </c>
      <c r="H58" s="11"/>
      <c r="I58" s="12">
        <f t="shared" si="2"/>
        <v>-1007.8250870683692</v>
      </c>
      <c r="J58" s="7"/>
      <c r="K58" s="15">
        <f t="shared" si="0"/>
        <v>78531.40744487585</v>
      </c>
      <c r="L58" s="5"/>
      <c r="M58" s="7">
        <f t="shared" si="3"/>
        <v>-1007.8250870683692</v>
      </c>
      <c r="N58" s="15"/>
    </row>
    <row r="59" spans="1:14" ht="10.5">
      <c r="A59" s="16" t="s">
        <v>11</v>
      </c>
      <c r="C59" s="4">
        <f>_XLL.NEXTDATESEQ(C58,PeriodsInt)</f>
        <v>39022</v>
      </c>
      <c r="D59" s="38"/>
      <c r="E59" s="11">
        <f>-_XLL.CON(C59,C60,DrawDate,RepDate,IntRate*SUM(K58),DayCount,PeriodsInt,1)</f>
        <v>-400.1874461574495</v>
      </c>
      <c r="F59" s="11">
        <f t="shared" si="1"/>
        <v>-607.6376409109197</v>
      </c>
      <c r="G59" s="15">
        <f>_XLL.LEVEL(C58,DrawDate,RepDate,RegPmt)+_XLL.LEVEL(C58,XDates,RepDate,XPmts)+_XLL.MKPMTS(C59,C60,XDates,XCap)</f>
        <v>-1007.8250870683692</v>
      </c>
      <c r="H59" s="11"/>
      <c r="I59" s="12">
        <f t="shared" si="2"/>
        <v>-1007.8250870683692</v>
      </c>
      <c r="J59" s="7"/>
      <c r="K59" s="15">
        <f t="shared" si="0"/>
        <v>77923.76980396493</v>
      </c>
      <c r="L59" s="5"/>
      <c r="M59" s="7">
        <f t="shared" si="3"/>
        <v>-1007.8250870683692</v>
      </c>
      <c r="N59" s="15"/>
    </row>
    <row r="60" spans="1:14" ht="10.5">
      <c r="A60" s="16" t="s">
        <v>13</v>
      </c>
      <c r="C60" s="4">
        <f>_XLL.NEXTDATESEQ(C59,PeriodsInt)</f>
        <v>39052</v>
      </c>
      <c r="D60" s="38"/>
      <c r="E60" s="11">
        <f>-_XLL.CON(C60,C61,DrawDate,RepDate,IntRate*SUM(K59),DayCount,PeriodsInt,1)</f>
        <v>-384.28160451270367</v>
      </c>
      <c r="F60" s="11">
        <f t="shared" si="1"/>
        <v>-623.5434825556655</v>
      </c>
      <c r="G60" s="15">
        <f>_XLL.LEVEL(C59,DrawDate,RepDate,RegPmt)+_XLL.LEVEL(C59,XDates,RepDate,XPmts)+_XLL.MKPMTS(C60,C61,XDates,XCap)</f>
        <v>-1007.8250870683692</v>
      </c>
      <c r="H60" s="11"/>
      <c r="I60" s="12">
        <f t="shared" si="2"/>
        <v>-1007.8250870683692</v>
      </c>
      <c r="J60" s="7"/>
      <c r="K60" s="15">
        <f t="shared" si="0"/>
        <v>77300.22632140927</v>
      </c>
      <c r="L60" s="5"/>
      <c r="M60" s="7">
        <f t="shared" si="3"/>
        <v>-1007.8250870683692</v>
      </c>
      <c r="N60" s="15"/>
    </row>
    <row r="61" spans="3:14" ht="10.5">
      <c r="C61" s="4">
        <f>_XLL.NEXTDATESEQ(C60,PeriodsInt)</f>
        <v>39083</v>
      </c>
      <c r="D61" s="38"/>
      <c r="E61" s="11">
        <f>-_XLL.CON(C61,C62,DrawDate,RepDate,IntRate*SUM(K60),DayCount,PeriodsInt,1)</f>
        <v>-393.9134820762225</v>
      </c>
      <c r="F61" s="11">
        <f t="shared" si="1"/>
        <v>-613.9116049921466</v>
      </c>
      <c r="G61" s="15">
        <f>_XLL.LEVEL(C60,DrawDate,RepDate,RegPmt)+_XLL.LEVEL(C60,XDates,RepDate,XPmts)+_XLL.MKPMTS(C61,C62,XDates,XCap)</f>
        <v>-1007.8250870683692</v>
      </c>
      <c r="H61" s="11"/>
      <c r="I61" s="12">
        <f t="shared" si="2"/>
        <v>-1007.8250870683692</v>
      </c>
      <c r="J61" s="7"/>
      <c r="K61" s="15">
        <f t="shared" si="0"/>
        <v>76686.31471641712</v>
      </c>
      <c r="L61" s="5"/>
      <c r="M61" s="7">
        <f t="shared" si="3"/>
        <v>-1007.8250870683692</v>
      </c>
      <c r="N61" s="15"/>
    </row>
    <row r="62" spans="3:14" ht="10.5">
      <c r="C62" s="4">
        <f>_XLL.NEXTDATESEQ(C61,PeriodsInt)</f>
        <v>39114</v>
      </c>
      <c r="D62" s="38"/>
      <c r="E62" s="11">
        <f>-_XLL.CON(C62,C63,DrawDate,RepDate,IntRate*SUM(K61),DayCount,PeriodsInt,1)</f>
        <v>-390.7850558151667</v>
      </c>
      <c r="F62" s="11">
        <f t="shared" si="1"/>
        <v>-617.0400312532024</v>
      </c>
      <c r="G62" s="15">
        <f>_XLL.LEVEL(C61,DrawDate,RepDate,RegPmt)+_XLL.LEVEL(C61,XDates,RepDate,XPmts)+_XLL.MKPMTS(C62,C63,XDates,XCap)</f>
        <v>-1007.8250870683692</v>
      </c>
      <c r="H62" s="11"/>
      <c r="I62" s="12">
        <f t="shared" si="2"/>
        <v>-1007.8250870683692</v>
      </c>
      <c r="J62" s="7"/>
      <c r="K62" s="15">
        <f t="shared" si="0"/>
        <v>76069.27468516392</v>
      </c>
      <c r="L62" s="5"/>
      <c r="M62" s="7">
        <f t="shared" si="3"/>
        <v>-1007.8250870683692</v>
      </c>
      <c r="N62" s="15"/>
    </row>
    <row r="63" spans="3:14" ht="10.5">
      <c r="C63" s="4">
        <f>_XLL.NEXTDATESEQ(C62,PeriodsInt)</f>
        <v>39142</v>
      </c>
      <c r="D63" s="38"/>
      <c r="E63" s="11">
        <f>-_XLL.CON(C63,C64,DrawDate,RepDate,IntRate*SUM(K62),DayCount,PeriodsInt,1)</f>
        <v>-350.12707252349423</v>
      </c>
      <c r="F63" s="11">
        <f t="shared" si="1"/>
        <v>-657.6980145448749</v>
      </c>
      <c r="G63" s="15">
        <f>_XLL.LEVEL(C62,DrawDate,RepDate,RegPmt)+_XLL.LEVEL(C62,XDates,RepDate,XPmts)+_XLL.MKPMTS(C63,C64,XDates,XCap)</f>
        <v>-1007.8250870683692</v>
      </c>
      <c r="H63" s="11"/>
      <c r="I63" s="12">
        <f t="shared" si="2"/>
        <v>-1007.8250870683692</v>
      </c>
      <c r="J63" s="7"/>
      <c r="K63" s="15">
        <f t="shared" si="0"/>
        <v>75411.57667061905</v>
      </c>
      <c r="L63" s="5"/>
      <c r="M63" s="7">
        <f t="shared" si="3"/>
        <v>-1007.8250870683692</v>
      </c>
      <c r="N63" s="15"/>
    </row>
    <row r="64" spans="3:14" ht="10.5">
      <c r="C64" s="4">
        <f>_XLL.NEXTDATESEQ(C63,PeriodsInt)</f>
        <v>39173</v>
      </c>
      <c r="D64" s="38"/>
      <c r="E64" s="11">
        <f>-_XLL.CON(C64,C65,DrawDate,RepDate,IntRate*SUM(K63),DayCount,PeriodsInt,1)</f>
        <v>-384.28913043109975</v>
      </c>
      <c r="F64" s="11">
        <f t="shared" si="1"/>
        <v>-10623.53595663727</v>
      </c>
      <c r="G64" s="15">
        <f>_XLL.LEVEL(C63,DrawDate,RepDate,RegPmt)+_XLL.LEVEL(C63,XDates,RepDate,XPmts)+_XLL.MKPMTS(C64,C65,XDates,XCap)</f>
        <v>-11007.82508706837</v>
      </c>
      <c r="H64" s="11"/>
      <c r="I64" s="12">
        <f t="shared" si="2"/>
        <v>-11007.82508706837</v>
      </c>
      <c r="J64" s="7"/>
      <c r="K64" s="15">
        <f t="shared" si="0"/>
        <v>64788.040713981776</v>
      </c>
      <c r="L64" s="5"/>
      <c r="M64" s="7">
        <f t="shared" si="3"/>
        <v>-11007.82508706837</v>
      </c>
      <c r="N64" s="15"/>
    </row>
    <row r="65" spans="3:14" ht="10.5">
      <c r="C65" s="4">
        <f>_XLL.NEXTDATESEQ(C64,PeriodsInt)</f>
        <v>39203</v>
      </c>
      <c r="D65" s="38"/>
      <c r="E65" s="11">
        <f>-_XLL.CON(C65,C66,DrawDate,RepDate,IntRate*SUM(K64),DayCount,PeriodsInt,1)</f>
        <v>-319.5026665347046</v>
      </c>
      <c r="F65" s="11">
        <f t="shared" si="1"/>
        <v>-553.564900822367</v>
      </c>
      <c r="G65" s="15">
        <f>_XLL.LEVEL(C64,DrawDate,RepDate,RegPmt)+_XLL.LEVEL(C64,XDates,RepDate,XPmts)+_XLL.MKPMTS(C65,C66,XDates,XCap)</f>
        <v>-873.0675673570715</v>
      </c>
      <c r="H65" s="11"/>
      <c r="I65" s="12">
        <f t="shared" si="2"/>
        <v>-873.0675673570715</v>
      </c>
      <c r="J65" s="7"/>
      <c r="K65" s="15">
        <f t="shared" si="0"/>
        <v>64234.475813159406</v>
      </c>
      <c r="L65" s="5"/>
      <c r="M65" s="7">
        <f t="shared" si="3"/>
        <v>-873.0675673570715</v>
      </c>
      <c r="N65" s="15"/>
    </row>
    <row r="66" spans="3:14" ht="10.5">
      <c r="C66" s="4">
        <f>_XLL.NEXTDATESEQ(C65,PeriodsInt)</f>
        <v>39234</v>
      </c>
      <c r="D66" s="38"/>
      <c r="E66" s="11">
        <f>-_XLL.CON(C66,C67,DrawDate,RepDate,IntRate*SUM(K65),DayCount,PeriodsInt,1)</f>
        <v>-327.33184934925066</v>
      </c>
      <c r="F66" s="11">
        <f t="shared" si="1"/>
        <v>-545.7357180078209</v>
      </c>
      <c r="G66" s="15">
        <f>_XLL.LEVEL(C65,DrawDate,RepDate,RegPmt)+_XLL.LEVEL(C65,XDates,RepDate,XPmts)+_XLL.MKPMTS(C66,C67,XDates,XCap)</f>
        <v>-873.0675673570715</v>
      </c>
      <c r="H66" s="11"/>
      <c r="I66" s="12">
        <f t="shared" si="2"/>
        <v>-873.0675673570715</v>
      </c>
      <c r="J66" s="7"/>
      <c r="K66" s="15">
        <f t="shared" si="0"/>
        <v>63688.74009515159</v>
      </c>
      <c r="L66" s="5"/>
      <c r="M66" s="7">
        <f t="shared" si="3"/>
        <v>-873.0675673570715</v>
      </c>
      <c r="N66" s="15"/>
    </row>
    <row r="67" spans="3:14" ht="10.5">
      <c r="C67" s="4">
        <f>_XLL.NEXTDATESEQ(C66,PeriodsInt)</f>
        <v>39264</v>
      </c>
      <c r="D67" s="38"/>
      <c r="E67" s="11">
        <f>-_XLL.CON(C67,C68,DrawDate,RepDate,IntRate*SUM(K66),DayCount,PeriodsInt,1)</f>
        <v>-314.0814580034872</v>
      </c>
      <c r="F67" s="11">
        <f t="shared" si="1"/>
        <v>-558.9861093535843</v>
      </c>
      <c r="G67" s="15">
        <f>_XLL.LEVEL(C66,DrawDate,RepDate,RegPmt)+_XLL.LEVEL(C66,XDates,RepDate,XPmts)+_XLL.MKPMTS(C67,C68,XDates,XCap)</f>
        <v>-873.0675673570715</v>
      </c>
      <c r="H67" s="11"/>
      <c r="I67" s="12">
        <f t="shared" si="2"/>
        <v>-873.0675673570715</v>
      </c>
      <c r="J67" s="7"/>
      <c r="K67" s="15">
        <f t="shared" si="0"/>
        <v>63129.753985798</v>
      </c>
      <c r="L67" s="5"/>
      <c r="M67" s="7">
        <f t="shared" si="3"/>
        <v>-873.0675673570715</v>
      </c>
      <c r="N67" s="15"/>
    </row>
    <row r="68" spans="3:14" ht="10.5">
      <c r="C68" s="4">
        <f>_XLL.NEXTDATESEQ(C67,PeriodsInt)</f>
        <v>39295</v>
      </c>
      <c r="D68" s="38"/>
      <c r="E68" s="11">
        <f>-_XLL.CON(C68,C69,DrawDate,RepDate,IntRate*SUM(K67),DayCount,PeriodsInt,1)</f>
        <v>-321.70230798242267</v>
      </c>
      <c r="F68" s="11">
        <f t="shared" si="1"/>
        <v>-551.3652593746489</v>
      </c>
      <c r="G68" s="15">
        <f>_XLL.LEVEL(C67,DrawDate,RepDate,RegPmt)+_XLL.LEVEL(C67,XDates,RepDate,XPmts)+_XLL.MKPMTS(C68,C69,XDates,XCap)</f>
        <v>-873.0675673570715</v>
      </c>
      <c r="H68" s="11"/>
      <c r="I68" s="12">
        <f t="shared" si="2"/>
        <v>-873.0675673570715</v>
      </c>
      <c r="J68" s="7"/>
      <c r="K68" s="15">
        <f t="shared" si="0"/>
        <v>62578.38872642335</v>
      </c>
      <c r="L68" s="5"/>
      <c r="M68" s="7">
        <f t="shared" si="3"/>
        <v>-873.0675673570715</v>
      </c>
      <c r="N68" s="15"/>
    </row>
    <row r="69" spans="3:14" ht="10.5">
      <c r="C69" s="4">
        <f>_XLL.NEXTDATESEQ(C68,PeriodsInt)</f>
        <v>39326</v>
      </c>
      <c r="D69" s="38"/>
      <c r="E69" s="11">
        <f>-_XLL.CON(C69,C70,DrawDate,RepDate,IntRate*SUM(K68),DayCount,PeriodsInt,1)</f>
        <v>-318.8926110442395</v>
      </c>
      <c r="F69" s="11">
        <f t="shared" si="1"/>
        <v>-554.174956312832</v>
      </c>
      <c r="G69" s="15">
        <f>_XLL.LEVEL(C68,DrawDate,RepDate,RegPmt)+_XLL.LEVEL(C68,XDates,RepDate,XPmts)+_XLL.MKPMTS(C69,C70,XDates,XCap)</f>
        <v>-873.0675673570715</v>
      </c>
      <c r="H69" s="11"/>
      <c r="I69" s="12">
        <f t="shared" si="2"/>
        <v>-873.0675673570715</v>
      </c>
      <c r="J69" s="7"/>
      <c r="K69" s="15">
        <f t="shared" si="0"/>
        <v>62024.21377011052</v>
      </c>
      <c r="L69" s="5"/>
      <c r="M69" s="7">
        <f t="shared" si="3"/>
        <v>-873.0675673570715</v>
      </c>
      <c r="N69" s="15"/>
    </row>
    <row r="70" spans="3:14" ht="10.5">
      <c r="C70" s="4">
        <f>_XLL.NEXTDATESEQ(C69,PeriodsInt)</f>
        <v>39356</v>
      </c>
      <c r="D70" s="38"/>
      <c r="E70" s="11">
        <f>-_XLL.CON(C70,C71,DrawDate,RepDate,IntRate*SUM(K69),DayCount,PeriodsInt,1)</f>
        <v>-305.872835030682</v>
      </c>
      <c r="F70" s="11">
        <f t="shared" si="1"/>
        <v>-567.1947323263896</v>
      </c>
      <c r="G70" s="15">
        <f>_XLL.LEVEL(C69,DrawDate,RepDate,RegPmt)+_XLL.LEVEL(C69,XDates,RepDate,XPmts)+_XLL.MKPMTS(C70,C71,XDates,XCap)</f>
        <v>-873.0675673570715</v>
      </c>
      <c r="H70" s="11"/>
      <c r="I70" s="12">
        <f t="shared" si="2"/>
        <v>-873.0675673570715</v>
      </c>
      <c r="J70" s="7"/>
      <c r="K70" s="15">
        <f t="shared" si="0"/>
        <v>61457.01903778413</v>
      </c>
      <c r="L70" s="5"/>
      <c r="M70" s="7">
        <f t="shared" si="3"/>
        <v>-873.0675673570715</v>
      </c>
      <c r="N70" s="15"/>
    </row>
    <row r="71" spans="3:14" ht="10.5">
      <c r="C71" s="4">
        <f>_XLL.NEXTDATESEQ(C70,PeriodsInt)</f>
        <v>39387</v>
      </c>
      <c r="D71" s="38"/>
      <c r="E71" s="11">
        <f>-_XLL.CON(C71,C72,DrawDate,RepDate,IntRate*SUM(K70),DayCount,PeriodsInt,1)</f>
        <v>-313.1782340007629</v>
      </c>
      <c r="F71" s="11">
        <f t="shared" si="1"/>
        <v>-559.8893333563086</v>
      </c>
      <c r="G71" s="15">
        <f>_XLL.LEVEL(C70,DrawDate,RepDate,RegPmt)+_XLL.LEVEL(C70,XDates,RepDate,XPmts)+_XLL.MKPMTS(C71,C72,XDates,XCap)</f>
        <v>-873.0675673570715</v>
      </c>
      <c r="H71" s="11"/>
      <c r="I71" s="12">
        <f t="shared" si="2"/>
        <v>-873.0675673570715</v>
      </c>
      <c r="J71" s="7"/>
      <c r="K71" s="15">
        <f t="shared" si="0"/>
        <v>60897.12970442782</v>
      </c>
      <c r="L71" s="5"/>
      <c r="M71" s="7">
        <f t="shared" si="3"/>
        <v>-873.0675673570715</v>
      </c>
      <c r="N71" s="15"/>
    </row>
    <row r="72" spans="3:14" ht="10.5">
      <c r="C72" s="4">
        <f>_XLL.NEXTDATESEQ(C71,PeriodsInt)</f>
        <v>39417</v>
      </c>
      <c r="D72" s="38"/>
      <c r="E72" s="11">
        <f>-_XLL.CON(C72,C73,DrawDate,RepDate,IntRate*SUM(K71),DayCount,PeriodsInt,1)</f>
        <v>-300.3146122410139</v>
      </c>
      <c r="F72" s="11">
        <f t="shared" si="1"/>
        <v>-572.7529551160576</v>
      </c>
      <c r="G72" s="15">
        <f>_XLL.LEVEL(C71,DrawDate,RepDate,RegPmt)+_XLL.LEVEL(C71,XDates,RepDate,XPmts)+_XLL.MKPMTS(C72,C73,XDates,XCap)</f>
        <v>-873.0675673570715</v>
      </c>
      <c r="H72" s="11"/>
      <c r="I72" s="12">
        <f t="shared" si="2"/>
        <v>-873.0675673570715</v>
      </c>
      <c r="J72" s="7"/>
      <c r="K72" s="15">
        <f t="shared" si="0"/>
        <v>60324.37674931176</v>
      </c>
      <c r="L72" s="5"/>
      <c r="M72" s="7">
        <f t="shared" si="3"/>
        <v>-873.0675673570715</v>
      </c>
      <c r="N72" s="15"/>
    </row>
    <row r="73" spans="3:14" ht="10.5">
      <c r="C73" s="4">
        <f>_XLL.NEXTDATESEQ(C72,PeriodsInt)</f>
        <v>39448</v>
      </c>
      <c r="D73" s="38"/>
      <c r="E73" s="11">
        <f>-_XLL.CON(C73,C74,DrawDate,RepDate,IntRate*SUM(K72),DayCount,PeriodsInt,1)</f>
        <v>-307.40641302389</v>
      </c>
      <c r="F73" s="11">
        <f t="shared" si="1"/>
        <v>-565.6611543331815</v>
      </c>
      <c r="G73" s="15">
        <f>_XLL.LEVEL(C72,DrawDate,RepDate,RegPmt)+_XLL.LEVEL(C72,XDates,RepDate,XPmts)+_XLL.MKPMTS(C73,C74,XDates,XCap)</f>
        <v>-873.0675673570715</v>
      </c>
      <c r="H73" s="11"/>
      <c r="I73" s="12">
        <f t="shared" si="2"/>
        <v>-873.0675673570715</v>
      </c>
      <c r="J73" s="7"/>
      <c r="K73" s="15">
        <f t="shared" si="0"/>
        <v>59758.71559497858</v>
      </c>
      <c r="L73" s="5"/>
      <c r="M73" s="7">
        <f t="shared" si="3"/>
        <v>-873.0675673570715</v>
      </c>
      <c r="N73" s="15"/>
    </row>
    <row r="74" spans="3:14" ht="10.5">
      <c r="C74" s="4">
        <f>_XLL.NEXTDATESEQ(C73,PeriodsInt)</f>
        <v>39479</v>
      </c>
      <c r="D74" s="38"/>
      <c r="E74" s="11">
        <f>-_XLL.CON(C74,C75,DrawDate,RepDate,IntRate*SUM(K73),DayCount,PeriodsInt,1)</f>
        <v>-304.52386577167164</v>
      </c>
      <c r="F74" s="11">
        <f t="shared" si="1"/>
        <v>-568.5437015854</v>
      </c>
      <c r="G74" s="15">
        <f>_XLL.LEVEL(C73,DrawDate,RepDate,RegPmt)+_XLL.LEVEL(C73,XDates,RepDate,XPmts)+_XLL.MKPMTS(C74,C75,XDates,XCap)</f>
        <v>-873.0675673570715</v>
      </c>
      <c r="H74" s="11"/>
      <c r="I74" s="12">
        <f t="shared" si="2"/>
        <v>-873.0675673570715</v>
      </c>
      <c r="J74" s="7"/>
      <c r="K74" s="15">
        <f t="shared" si="0"/>
        <v>59190.171893393184</v>
      </c>
      <c r="L74" s="5"/>
      <c r="M74" s="7">
        <f t="shared" si="3"/>
        <v>-873.0675673570715</v>
      </c>
      <c r="N74" s="15"/>
    </row>
    <row r="75" spans="3:14" ht="10.5">
      <c r="C75" s="4">
        <f>_XLL.NEXTDATESEQ(C74,PeriodsInt)</f>
        <v>39508</v>
      </c>
      <c r="D75" s="38"/>
      <c r="E75" s="11">
        <f>-_XLL.CON(C75,C76,DrawDate,RepDate,IntRate*SUM(K74),DayCount,PeriodsInt,1)</f>
        <v>-282.1668468342579</v>
      </c>
      <c r="F75" s="11">
        <f t="shared" si="1"/>
        <v>-590.9007205228136</v>
      </c>
      <c r="G75" s="15">
        <f>_XLL.LEVEL(C74,DrawDate,RepDate,RegPmt)+_XLL.LEVEL(C74,XDates,RepDate,XPmts)+_XLL.MKPMTS(C75,C76,XDates,XCap)</f>
        <v>-873.0675673570715</v>
      </c>
      <c r="H75" s="11"/>
      <c r="I75" s="12">
        <f t="shared" si="2"/>
        <v>-873.0675673570715</v>
      </c>
      <c r="J75" s="7"/>
      <c r="K75" s="15">
        <f t="shared" si="0"/>
        <v>58599.27117287037</v>
      </c>
      <c r="L75" s="5"/>
      <c r="M75" s="7">
        <f t="shared" si="3"/>
        <v>-873.0675673570715</v>
      </c>
      <c r="N75" s="15"/>
    </row>
    <row r="76" spans="3:14" ht="10.5">
      <c r="C76" s="4">
        <f>_XLL.NEXTDATESEQ(C75,PeriodsInt)</f>
        <v>39539</v>
      </c>
      <c r="D76" s="38"/>
      <c r="E76" s="11">
        <f>-_XLL.CON(C76,C77,DrawDate,RepDate,IntRate*SUM(K75),DayCount,PeriodsInt,1)</f>
        <v>-298.61546405901066</v>
      </c>
      <c r="F76" s="11">
        <f t="shared" si="1"/>
        <v>-574.4521032980608</v>
      </c>
      <c r="G76" s="15">
        <f>_XLL.LEVEL(C75,DrawDate,RepDate,RegPmt)+_XLL.LEVEL(C75,XDates,RepDate,XPmts)+_XLL.MKPMTS(C76,C77,XDates,XCap)</f>
        <v>-873.0675673570715</v>
      </c>
      <c r="H76" s="11"/>
      <c r="I76" s="12">
        <f t="shared" si="2"/>
        <v>-873.0675673570715</v>
      </c>
      <c r="J76" s="7"/>
      <c r="K76" s="15">
        <f t="shared" si="0"/>
        <v>58024.81906957231</v>
      </c>
      <c r="L76" s="5"/>
      <c r="M76" s="7">
        <f t="shared" si="3"/>
        <v>-873.0675673570715</v>
      </c>
      <c r="N76" s="15"/>
    </row>
    <row r="77" spans="3:14" ht="10.5">
      <c r="C77" s="4">
        <f>_XLL.NEXTDATESEQ(C76,PeriodsInt)</f>
        <v>39569</v>
      </c>
      <c r="D77" s="38"/>
      <c r="E77" s="11">
        <f>-_XLL.CON(C77,C78,DrawDate,RepDate,IntRate*SUM(K76),DayCount,PeriodsInt,1)</f>
        <v>-286.1497926718634</v>
      </c>
      <c r="F77" s="11">
        <f t="shared" si="1"/>
        <v>-586.9177746852081</v>
      </c>
      <c r="G77" s="15">
        <f>_XLL.LEVEL(C76,DrawDate,RepDate,RegPmt)+_XLL.LEVEL(C76,XDates,RepDate,XPmts)+_XLL.MKPMTS(C77,C78,XDates,XCap)</f>
        <v>-873.0675673570715</v>
      </c>
      <c r="H77" s="11"/>
      <c r="I77" s="12">
        <f t="shared" si="2"/>
        <v>-873.0675673570715</v>
      </c>
      <c r="J77" s="7"/>
      <c r="K77" s="15">
        <f t="shared" si="0"/>
        <v>57437.9012948871</v>
      </c>
      <c r="L77" s="5"/>
      <c r="M77" s="7">
        <f t="shared" si="3"/>
        <v>-873.0675673570715</v>
      </c>
      <c r="N77" s="15"/>
    </row>
    <row r="78" spans="3:14" ht="10.5">
      <c r="C78" s="4">
        <f>_XLL.NEXTDATESEQ(C77,PeriodsInt)</f>
        <v>39600</v>
      </c>
      <c r="D78" s="38"/>
      <c r="E78" s="11">
        <f>-_XLL.CON(C78,C79,DrawDate,RepDate,IntRate*SUM(K77),DayCount,PeriodsInt,1)</f>
        <v>-292.6972504342192</v>
      </c>
      <c r="F78" s="11">
        <f t="shared" si="1"/>
        <v>-580.3703169228523</v>
      </c>
      <c r="G78" s="15">
        <f>_XLL.LEVEL(C77,DrawDate,RepDate,RegPmt)+_XLL.LEVEL(C77,XDates,RepDate,XPmts)+_XLL.MKPMTS(C78,C79,XDates,XCap)</f>
        <v>-873.0675673570715</v>
      </c>
      <c r="H78" s="11"/>
      <c r="I78" s="12">
        <f t="shared" si="2"/>
        <v>-873.0675673570715</v>
      </c>
      <c r="J78" s="7"/>
      <c r="K78" s="15">
        <f t="shared" si="0"/>
        <v>56857.53097796425</v>
      </c>
      <c r="L78" s="5"/>
      <c r="M78" s="7">
        <f t="shared" si="3"/>
        <v>-873.0675673570715</v>
      </c>
      <c r="N78" s="15"/>
    </row>
    <row r="79" spans="3:14" ht="10.5">
      <c r="C79" s="4">
        <f>_XLL.NEXTDATESEQ(C78,PeriodsInt)</f>
        <v>39630</v>
      </c>
      <c r="D79" s="38"/>
      <c r="E79" s="11">
        <f>-_XLL.CON(C79,C80,DrawDate,RepDate,IntRate*SUM(K78),DayCount,PeriodsInt,1)</f>
        <v>-280.39330345297435</v>
      </c>
      <c r="F79" s="11">
        <f t="shared" si="1"/>
        <v>-592.6742639040972</v>
      </c>
      <c r="G79" s="15">
        <f>_XLL.LEVEL(C78,DrawDate,RepDate,RegPmt)+_XLL.LEVEL(C78,XDates,RepDate,XPmts)+_XLL.MKPMTS(C79,C80,XDates,XCap)</f>
        <v>-873.0675673570715</v>
      </c>
      <c r="H79" s="11"/>
      <c r="I79" s="12">
        <f t="shared" si="2"/>
        <v>-873.0675673570715</v>
      </c>
      <c r="J79" s="7"/>
      <c r="K79" s="15">
        <f t="shared" si="0"/>
        <v>56264.85671406015</v>
      </c>
      <c r="L79" s="5"/>
      <c r="M79" s="7">
        <f t="shared" si="3"/>
        <v>-873.0675673570715</v>
      </c>
      <c r="N79" s="15"/>
    </row>
    <row r="80" spans="3:14" ht="10.5">
      <c r="C80" s="4">
        <f>_XLL.NEXTDATESEQ(C79,PeriodsInt)</f>
        <v>39661</v>
      </c>
      <c r="D80" s="38"/>
      <c r="E80" s="11">
        <f>-_XLL.CON(C80,C81,DrawDate,RepDate,IntRate*SUM(K79),DayCount,PeriodsInt,1)</f>
        <v>-286.71954380315583</v>
      </c>
      <c r="F80" s="11">
        <f t="shared" si="1"/>
        <v>-586.3480235539157</v>
      </c>
      <c r="G80" s="15">
        <f>_XLL.LEVEL(C79,DrawDate,RepDate,RegPmt)+_XLL.LEVEL(C79,XDates,RepDate,XPmts)+_XLL.MKPMTS(C80,C81,XDates,XCap)</f>
        <v>-873.0675673570715</v>
      </c>
      <c r="H80" s="11"/>
      <c r="I80" s="12">
        <f t="shared" si="2"/>
        <v>-873.0675673570715</v>
      </c>
      <c r="J80" s="7"/>
      <c r="K80" s="15">
        <f t="shared" si="0"/>
        <v>55678.508690506234</v>
      </c>
      <c r="L80" s="5"/>
      <c r="M80" s="7">
        <f t="shared" si="3"/>
        <v>-873.0675673570715</v>
      </c>
      <c r="N80" s="15"/>
    </row>
    <row r="81" spans="3:14" ht="10.5">
      <c r="C81" s="4">
        <f>_XLL.NEXTDATESEQ(C80,PeriodsInt)</f>
        <v>39692</v>
      </c>
      <c r="D81" s="38"/>
      <c r="E81" s="11">
        <f>-_XLL.CON(C81,C82,DrawDate,RepDate,IntRate*SUM(K80),DayCount,PeriodsInt,1)</f>
        <v>-283.7315785324427</v>
      </c>
      <c r="F81" s="11">
        <f t="shared" si="1"/>
        <v>-589.3359888246289</v>
      </c>
      <c r="G81" s="15">
        <f>_XLL.LEVEL(C80,DrawDate,RepDate,RegPmt)+_XLL.LEVEL(C80,XDates,RepDate,XPmts)+_XLL.MKPMTS(C81,C82,XDates,XCap)</f>
        <v>-873.0675673570715</v>
      </c>
      <c r="H81" s="11"/>
      <c r="I81" s="12">
        <f t="shared" si="2"/>
        <v>-873.0675673570715</v>
      </c>
      <c r="J81" s="7"/>
      <c r="K81" s="15">
        <f t="shared" si="0"/>
        <v>55089.17270168161</v>
      </c>
      <c r="L81" s="5"/>
      <c r="M81" s="7">
        <f t="shared" si="3"/>
        <v>-873.0675673570715</v>
      </c>
      <c r="N81" s="15"/>
    </row>
    <row r="82" spans="3:14" ht="10.5">
      <c r="C82" s="4">
        <f>_XLL.NEXTDATESEQ(C81,PeriodsInt)</f>
        <v>39722</v>
      </c>
      <c r="D82" s="38"/>
      <c r="E82" s="11">
        <f>-_XLL.CON(C82,C83,DrawDate,RepDate,IntRate*SUM(K81),DayCount,PeriodsInt,1)</f>
        <v>-271.6726325014435</v>
      </c>
      <c r="F82" s="11">
        <f t="shared" si="1"/>
        <v>-601.394934855628</v>
      </c>
      <c r="G82" s="15">
        <f>_XLL.LEVEL(C81,DrawDate,RepDate,RegPmt)+_XLL.LEVEL(C81,XDates,RepDate,XPmts)+_XLL.MKPMTS(C82,C83,XDates,XCap)</f>
        <v>-873.0675673570715</v>
      </c>
      <c r="H82" s="11"/>
      <c r="I82" s="12">
        <f t="shared" si="2"/>
        <v>-873.0675673570715</v>
      </c>
      <c r="J82" s="7"/>
      <c r="K82" s="15">
        <f t="shared" si="0"/>
        <v>54487.77776682598</v>
      </c>
      <c r="L82" s="5"/>
      <c r="M82" s="7">
        <f t="shared" si="3"/>
        <v>-873.0675673570715</v>
      </c>
      <c r="N82" s="15"/>
    </row>
    <row r="83" spans="3:14" ht="10.5">
      <c r="C83" s="4">
        <f>_XLL.NEXTDATESEQ(C82,PeriodsInt)</f>
        <v>39753</v>
      </c>
      <c r="D83" s="38"/>
      <c r="E83" s="11">
        <f>-_XLL.CON(C83,C84,DrawDate,RepDate,IntRate*SUM(K82),DayCount,PeriodsInt,1)</f>
        <v>-277.6637442364283</v>
      </c>
      <c r="F83" s="11">
        <f t="shared" si="1"/>
        <v>-595.4038231206432</v>
      </c>
      <c r="G83" s="15">
        <f>_XLL.LEVEL(C82,DrawDate,RepDate,RegPmt)+_XLL.LEVEL(C82,XDates,RepDate,XPmts)+_XLL.MKPMTS(C83,C84,XDates,XCap)</f>
        <v>-873.0675673570715</v>
      </c>
      <c r="H83" s="11"/>
      <c r="I83" s="12">
        <f t="shared" si="2"/>
        <v>-873.0675673570715</v>
      </c>
      <c r="J83" s="7"/>
      <c r="K83" s="15">
        <f t="shared" si="0"/>
        <v>53892.37394370534</v>
      </c>
      <c r="L83" s="5"/>
      <c r="M83" s="7">
        <f t="shared" si="3"/>
        <v>-873.0675673570715</v>
      </c>
      <c r="N83" s="15"/>
    </row>
    <row r="84" spans="3:14" ht="10.5">
      <c r="C84" s="4">
        <f>_XLL.NEXTDATESEQ(C83,PeriodsInt)</f>
        <v>39783</v>
      </c>
      <c r="D84" s="38"/>
      <c r="E84" s="11">
        <f>-_XLL.CON(C84,C85,DrawDate,RepDate,IntRate*SUM(K83),DayCount,PeriodsInt,1)</f>
        <v>-265.77061122923175</v>
      </c>
      <c r="F84" s="11">
        <f t="shared" si="1"/>
        <v>-607.2969561278398</v>
      </c>
      <c r="G84" s="15">
        <f>_XLL.LEVEL(C83,DrawDate,RepDate,RegPmt)+_XLL.LEVEL(C83,XDates,RepDate,XPmts)+_XLL.MKPMTS(C84,C85,XDates,XCap)</f>
        <v>-873.0675673570715</v>
      </c>
      <c r="H84" s="11"/>
      <c r="I84" s="12">
        <f t="shared" si="2"/>
        <v>-873.0675673570715</v>
      </c>
      <c r="J84" s="7"/>
      <c r="K84" s="15">
        <f t="shared" si="0"/>
        <v>53285.0769875775</v>
      </c>
      <c r="L84" s="5"/>
      <c r="M84" s="7">
        <f t="shared" si="3"/>
        <v>-873.0675673570715</v>
      </c>
      <c r="N84" s="15"/>
    </row>
    <row r="85" spans="3:14" ht="10.5">
      <c r="C85" s="4">
        <f>_XLL.NEXTDATESEQ(C84,PeriodsInt)</f>
        <v>39814</v>
      </c>
      <c r="D85" s="38"/>
      <c r="E85" s="11">
        <f>-_XLL.CON(C85,C86,DrawDate,RepDate,IntRate*SUM(K84),DayCount,PeriodsInt,1)</f>
        <v>-271.53491286820315</v>
      </c>
      <c r="F85" s="11">
        <f t="shared" si="1"/>
        <v>-601.5326544888684</v>
      </c>
      <c r="G85" s="15">
        <f>_XLL.LEVEL(C84,DrawDate,RepDate,RegPmt)+_XLL.LEVEL(C84,XDates,RepDate,XPmts)+_XLL.MKPMTS(C85,C86,XDates,XCap)</f>
        <v>-873.0675673570715</v>
      </c>
      <c r="H85" s="11"/>
      <c r="I85" s="12">
        <f t="shared" si="2"/>
        <v>-873.0675673570715</v>
      </c>
      <c r="J85" s="7"/>
      <c r="K85" s="15">
        <f t="shared" si="0"/>
        <v>52683.544333088634</v>
      </c>
      <c r="L85" s="5"/>
      <c r="M85" s="7">
        <f t="shared" si="3"/>
        <v>-873.0675673570715</v>
      </c>
      <c r="N85" s="15"/>
    </row>
    <row r="86" spans="3:14" ht="10.5">
      <c r="C86" s="4">
        <f>_XLL.NEXTDATESEQ(C85,PeriodsInt)</f>
        <v>39845</v>
      </c>
      <c r="D86" s="38"/>
      <c r="E86" s="11">
        <f>-_XLL.CON(C86,C87,DrawDate,RepDate,IntRate*SUM(K85),DayCount,PeriodsInt,1)</f>
        <v>-268.46956838231466</v>
      </c>
      <c r="F86" s="11">
        <f t="shared" si="1"/>
        <v>-604.5979989747568</v>
      </c>
      <c r="G86" s="15">
        <f>_XLL.LEVEL(C85,DrawDate,RepDate,RegPmt)+_XLL.LEVEL(C85,XDates,RepDate,XPmts)+_XLL.MKPMTS(C86,C87,XDates,XCap)</f>
        <v>-873.0675673570715</v>
      </c>
      <c r="H86" s="11"/>
      <c r="I86" s="12">
        <f t="shared" si="2"/>
        <v>-873.0675673570715</v>
      </c>
      <c r="J86" s="7"/>
      <c r="K86" s="15">
        <f t="shared" si="0"/>
        <v>52078.946334113876</v>
      </c>
      <c r="L86" s="5"/>
      <c r="M86" s="7">
        <f t="shared" si="3"/>
        <v>-873.0675673570715</v>
      </c>
      <c r="N86" s="15"/>
    </row>
    <row r="87" spans="3:14" ht="10.5">
      <c r="C87" s="4">
        <f>_XLL.NEXTDATESEQ(C86,PeriodsInt)</f>
        <v>39873</v>
      </c>
      <c r="D87" s="38"/>
      <c r="E87" s="11">
        <f>-_XLL.CON(C87,C88,DrawDate,RepDate,IntRate*SUM(K86),DayCount,PeriodsInt,1)</f>
        <v>-239.70583518167481</v>
      </c>
      <c r="F87" s="11">
        <f t="shared" si="1"/>
        <v>-633.3617321753967</v>
      </c>
      <c r="G87" s="15">
        <f>_XLL.LEVEL(C86,DrawDate,RepDate,RegPmt)+_XLL.LEVEL(C86,XDates,RepDate,XPmts)+_XLL.MKPMTS(C87,C88,XDates,XCap)</f>
        <v>-873.0675673570715</v>
      </c>
      <c r="H87" s="11"/>
      <c r="I87" s="12">
        <f t="shared" si="2"/>
        <v>-873.0675673570715</v>
      </c>
      <c r="J87" s="7"/>
      <c r="K87" s="15">
        <f t="shared" si="0"/>
        <v>51445.58460193848</v>
      </c>
      <c r="L87" s="5"/>
      <c r="M87" s="7">
        <f t="shared" si="3"/>
        <v>-873.0675673570715</v>
      </c>
      <c r="N87" s="15"/>
    </row>
    <row r="88" spans="3:14" ht="10.5">
      <c r="C88" s="4">
        <f>_XLL.NEXTDATESEQ(C87,PeriodsInt)</f>
        <v>39904</v>
      </c>
      <c r="D88" s="38"/>
      <c r="E88" s="11">
        <f>-_XLL.CON(C88,C89,DrawDate,RepDate,IntRate*SUM(K87),DayCount,PeriodsInt,1)</f>
        <v>-262.16106125919333</v>
      </c>
      <c r="F88" s="11">
        <f t="shared" si="1"/>
        <v>-610.9065060978783</v>
      </c>
      <c r="G88" s="15">
        <f>_XLL.LEVEL(C87,DrawDate,RepDate,RegPmt)+_XLL.LEVEL(C87,XDates,RepDate,XPmts)+_XLL.MKPMTS(C88,C89,XDates,XCap)</f>
        <v>-873.0675673570715</v>
      </c>
      <c r="H88" s="11"/>
      <c r="I88" s="12">
        <f t="shared" si="2"/>
        <v>-873.0675673570715</v>
      </c>
      <c r="J88" s="7"/>
      <c r="K88" s="15">
        <f t="shared" si="0"/>
        <v>50834.6780958406</v>
      </c>
      <c r="L88" s="5"/>
      <c r="M88" s="7">
        <f t="shared" si="3"/>
        <v>-873.0675673570715</v>
      </c>
      <c r="N88" s="15"/>
    </row>
    <row r="89" spans="3:14" ht="10.5">
      <c r="C89" s="4">
        <f>_XLL.NEXTDATESEQ(C88,PeriodsInt)</f>
        <v>39934</v>
      </c>
      <c r="D89" s="38"/>
      <c r="E89" s="11">
        <f>-_XLL.CON(C89,C90,DrawDate,RepDate,IntRate*SUM(K88),DayCount,PeriodsInt,1)</f>
        <v>-250.69156321236457</v>
      </c>
      <c r="F89" s="11">
        <f t="shared" si="1"/>
        <v>-622.3760041447069</v>
      </c>
      <c r="G89" s="15">
        <f>_XLL.LEVEL(C88,DrawDate,RepDate,RegPmt)+_XLL.LEVEL(C88,XDates,RepDate,XPmts)+_XLL.MKPMTS(C89,C90,XDates,XCap)</f>
        <v>-873.0675673570715</v>
      </c>
      <c r="H89" s="11"/>
      <c r="I89" s="12">
        <f t="shared" si="2"/>
        <v>-873.0675673570715</v>
      </c>
      <c r="J89" s="7"/>
      <c r="K89" s="15">
        <f t="shared" si="0"/>
        <v>50212.30209169589</v>
      </c>
      <c r="L89" s="5"/>
      <c r="M89" s="7">
        <f t="shared" si="3"/>
        <v>-873.0675673570715</v>
      </c>
      <c r="N89" s="15"/>
    </row>
    <row r="90" spans="3:14" ht="10.5">
      <c r="C90" s="4">
        <f>_XLL.NEXTDATESEQ(C89,PeriodsInt)</f>
        <v>39965</v>
      </c>
      <c r="D90" s="38"/>
      <c r="E90" s="11">
        <f>-_XLL.CON(C90,C91,DrawDate,RepDate,IntRate*SUM(K89),DayCount,PeriodsInt,1)</f>
        <v>-255.87638874124482</v>
      </c>
      <c r="F90" s="11">
        <f t="shared" si="1"/>
        <v>-617.1911786158267</v>
      </c>
      <c r="G90" s="15">
        <f>_XLL.LEVEL(C89,DrawDate,RepDate,RegPmt)+_XLL.LEVEL(C89,XDates,RepDate,XPmts)+_XLL.MKPMTS(C90,C91,XDates,XCap)</f>
        <v>-873.0675673570715</v>
      </c>
      <c r="H90" s="11"/>
      <c r="I90" s="12">
        <f t="shared" si="2"/>
        <v>-873.0675673570715</v>
      </c>
      <c r="J90" s="7"/>
      <c r="K90" s="15">
        <f t="shared" si="0"/>
        <v>49595.11091308007</v>
      </c>
      <c r="L90" s="5"/>
      <c r="M90" s="7">
        <f t="shared" si="3"/>
        <v>-873.0675673570715</v>
      </c>
      <c r="N90" s="15"/>
    </row>
    <row r="91" spans="3:14" ht="10.5">
      <c r="C91" s="4">
        <f>_XLL.NEXTDATESEQ(C90,PeriodsInt)</f>
        <v>39995</v>
      </c>
      <c r="D91" s="38"/>
      <c r="E91" s="11">
        <f>-_XLL.CON(C91,C92,DrawDate,RepDate,IntRate*SUM(K90),DayCount,PeriodsInt,1)</f>
        <v>-244.57862916039483</v>
      </c>
      <c r="F91" s="11">
        <f t="shared" si="1"/>
        <v>-628.4889381966767</v>
      </c>
      <c r="G91" s="15">
        <f>_XLL.LEVEL(C90,DrawDate,RepDate,RegPmt)+_XLL.LEVEL(C90,XDates,RepDate,XPmts)+_XLL.MKPMTS(C91,C92,XDates,XCap)</f>
        <v>-873.0675673570715</v>
      </c>
      <c r="H91" s="11"/>
      <c r="I91" s="12">
        <f t="shared" si="2"/>
        <v>-873.0675673570715</v>
      </c>
      <c r="J91" s="7"/>
      <c r="K91" s="15">
        <f t="shared" si="0"/>
        <v>48966.62197488339</v>
      </c>
      <c r="L91" s="5"/>
      <c r="M91" s="7">
        <f t="shared" si="3"/>
        <v>-873.0675673570715</v>
      </c>
      <c r="N91" s="15"/>
    </row>
    <row r="92" spans="3:14" ht="10.5">
      <c r="C92" s="4">
        <f>_XLL.NEXTDATESEQ(C91,PeriodsInt)</f>
        <v>40026</v>
      </c>
      <c r="D92" s="38"/>
      <c r="E92" s="11">
        <f>-_XLL.CON(C92,C93,DrawDate,RepDate,IntRate*SUM(K91),DayCount,PeriodsInt,1)</f>
        <v>-249.5285393788578</v>
      </c>
      <c r="F92" s="11">
        <f t="shared" si="1"/>
        <v>-623.5390279782138</v>
      </c>
      <c r="G92" s="15">
        <f>_XLL.LEVEL(C91,DrawDate,RepDate,RegPmt)+_XLL.LEVEL(C91,XDates,RepDate,XPmts)+_XLL.MKPMTS(C92,C93,XDates,XCap)</f>
        <v>-873.0675673570715</v>
      </c>
      <c r="H92" s="11"/>
      <c r="I92" s="12">
        <f t="shared" si="2"/>
        <v>-873.0675673570715</v>
      </c>
      <c r="J92" s="7"/>
      <c r="K92" s="15">
        <f t="shared" si="0"/>
        <v>48343.082946905175</v>
      </c>
      <c r="L92" s="5"/>
      <c r="M92" s="7">
        <f t="shared" si="3"/>
        <v>-873.0675673570715</v>
      </c>
      <c r="N92" s="15"/>
    </row>
    <row r="93" spans="3:14" ht="10.5">
      <c r="C93" s="4">
        <f>_XLL.NEXTDATESEQ(C92,PeriodsInt)</f>
        <v>40057</v>
      </c>
      <c r="D93" s="38"/>
      <c r="E93" s="11">
        <f>-_XLL.CON(C93,C94,DrawDate,RepDate,IntRate*SUM(K92),DayCount,PeriodsInt,1)</f>
        <v>-246.35105282532498</v>
      </c>
      <c r="F93" s="11">
        <f t="shared" si="1"/>
        <v>-626.7165145317465</v>
      </c>
      <c r="G93" s="15">
        <f>_XLL.LEVEL(C92,DrawDate,RepDate,RegPmt)+_XLL.LEVEL(C92,XDates,RepDate,XPmts)+_XLL.MKPMTS(C93,C94,XDates,XCap)</f>
        <v>-873.0675673570715</v>
      </c>
      <c r="H93" s="11"/>
      <c r="I93" s="12">
        <f t="shared" si="2"/>
        <v>-873.0675673570715</v>
      </c>
      <c r="J93" s="7"/>
      <c r="K93" s="15">
        <f t="shared" si="0"/>
        <v>47716.36643237343</v>
      </c>
      <c r="L93" s="5"/>
      <c r="M93" s="7">
        <f t="shared" si="3"/>
        <v>-873.0675673570715</v>
      </c>
      <c r="N93" s="15"/>
    </row>
    <row r="94" spans="3:14" ht="10.5">
      <c r="C94" s="4">
        <f>_XLL.NEXTDATESEQ(C93,PeriodsInt)</f>
        <v>40087</v>
      </c>
      <c r="D94" s="38"/>
      <c r="E94" s="11">
        <f>-_XLL.CON(C94,C95,DrawDate,RepDate,IntRate*SUM(K93),DayCount,PeriodsInt,1)</f>
        <v>-235.31358788567715</v>
      </c>
      <c r="F94" s="11">
        <f t="shared" si="1"/>
        <v>-637.7539794713944</v>
      </c>
      <c r="G94" s="15">
        <f>_XLL.LEVEL(C93,DrawDate,RepDate,RegPmt)+_XLL.LEVEL(C93,XDates,RepDate,XPmts)+_XLL.MKPMTS(C94,C95,XDates,XCap)</f>
        <v>-873.0675673570715</v>
      </c>
      <c r="H94" s="11"/>
      <c r="I94" s="12">
        <f t="shared" si="2"/>
        <v>-873.0675673570715</v>
      </c>
      <c r="J94" s="7"/>
      <c r="K94" s="15">
        <f t="shared" si="0"/>
        <v>47078.61245290203</v>
      </c>
      <c r="L94" s="5"/>
      <c r="M94" s="7">
        <f t="shared" si="3"/>
        <v>-873.0675673570715</v>
      </c>
      <c r="N94" s="15"/>
    </row>
    <row r="95" spans="3:14" ht="10.5">
      <c r="C95" s="4">
        <f>_XLL.NEXTDATESEQ(C94,PeriodsInt)</f>
        <v>40118</v>
      </c>
      <c r="D95" s="38"/>
      <c r="E95" s="11">
        <f>-_XLL.CON(C95,C96,DrawDate,RepDate,IntRate*SUM(K94),DayCount,PeriodsInt,1)</f>
        <v>-239.9074497599939</v>
      </c>
      <c r="F95" s="11">
        <f t="shared" si="1"/>
        <v>-633.1601175970776</v>
      </c>
      <c r="G95" s="15">
        <f>_XLL.LEVEL(C94,DrawDate,RepDate,RegPmt)+_XLL.LEVEL(C94,XDates,RepDate,XPmts)+_XLL.MKPMTS(C95,C96,XDates,XCap)</f>
        <v>-873.0675673570715</v>
      </c>
      <c r="H95" s="11"/>
      <c r="I95" s="12">
        <f t="shared" si="2"/>
        <v>-873.0675673570715</v>
      </c>
      <c r="J95" s="7"/>
      <c r="K95" s="15">
        <f t="shared" si="0"/>
        <v>46445.45233530495</v>
      </c>
      <c r="L95" s="5"/>
      <c r="M95" s="7">
        <f t="shared" si="3"/>
        <v>-873.0675673570715</v>
      </c>
      <c r="N95" s="15"/>
    </row>
    <row r="96" spans="3:14" ht="10.5">
      <c r="C96" s="4">
        <f>_XLL.NEXTDATESEQ(C95,PeriodsInt)</f>
        <v>40148</v>
      </c>
      <c r="D96" s="38"/>
      <c r="E96" s="11">
        <f>-_XLL.CON(C96,C97,DrawDate,RepDate,IntRate*SUM(K95),DayCount,PeriodsInt,1)</f>
        <v>-229.0460663110929</v>
      </c>
      <c r="F96" s="11">
        <f t="shared" si="1"/>
        <v>-644.0215010459787</v>
      </c>
      <c r="G96" s="15">
        <f>_XLL.LEVEL(C95,DrawDate,RepDate,RegPmt)+_XLL.LEVEL(C95,XDates,RepDate,XPmts)+_XLL.MKPMTS(C96,C97,XDates,XCap)</f>
        <v>-873.0675673570715</v>
      </c>
      <c r="H96" s="11"/>
      <c r="I96" s="12">
        <f t="shared" si="2"/>
        <v>-873.0675673570715</v>
      </c>
      <c r="J96" s="7"/>
      <c r="K96" s="15">
        <f t="shared" si="0"/>
        <v>45801.43083425897</v>
      </c>
      <c r="L96" s="5"/>
      <c r="M96" s="7">
        <f t="shared" si="3"/>
        <v>-873.0675673570715</v>
      </c>
      <c r="N96" s="15"/>
    </row>
    <row r="97" spans="3:14" ht="10.5">
      <c r="C97" s="4">
        <f>_XLL.NEXTDATESEQ(C96,PeriodsInt)</f>
        <v>40179</v>
      </c>
      <c r="D97" s="38"/>
      <c r="E97" s="11">
        <f>-_XLL.CON(C97,C98,DrawDate,RepDate,IntRate*SUM(K96),DayCount,PeriodsInt,1)</f>
        <v>-233.39907219649777</v>
      </c>
      <c r="F97" s="11">
        <f t="shared" si="1"/>
        <v>-639.6684951605738</v>
      </c>
      <c r="G97" s="15">
        <f>_XLL.LEVEL(C96,DrawDate,RepDate,RegPmt)+_XLL.LEVEL(C96,XDates,RepDate,XPmts)+_XLL.MKPMTS(C97,C98,XDates,XCap)</f>
        <v>-873.0675673570715</v>
      </c>
      <c r="H97" s="11"/>
      <c r="I97" s="12">
        <f t="shared" si="2"/>
        <v>-873.0675673570715</v>
      </c>
      <c r="J97" s="7"/>
      <c r="K97" s="15">
        <f t="shared" si="0"/>
        <v>45161.7623390984</v>
      </c>
      <c r="L97" s="5"/>
      <c r="M97" s="7">
        <f t="shared" si="3"/>
        <v>-873.0675673570715</v>
      </c>
      <c r="N97" s="15"/>
    </row>
    <row r="98" spans="3:14" ht="10.5">
      <c r="C98" s="4">
        <f>_XLL.NEXTDATESEQ(C97,PeriodsInt)</f>
        <v>40210</v>
      </c>
      <c r="D98" s="38"/>
      <c r="E98" s="11">
        <f>-_XLL.CON(C98,C99,DrawDate,RepDate,IntRate*SUM(K97),DayCount,PeriodsInt,1)</f>
        <v>-230.1393916458165</v>
      </c>
      <c r="F98" s="11">
        <f t="shared" si="1"/>
        <v>-642.9281757112551</v>
      </c>
      <c r="G98" s="15">
        <f>_XLL.LEVEL(C97,DrawDate,RepDate,RegPmt)+_XLL.LEVEL(C97,XDates,RepDate,XPmts)+_XLL.MKPMTS(C98,C99,XDates,XCap)</f>
        <v>-873.0675673570715</v>
      </c>
      <c r="H98" s="11"/>
      <c r="I98" s="12">
        <f t="shared" si="2"/>
        <v>-873.0675673570715</v>
      </c>
      <c r="J98" s="7"/>
      <c r="K98" s="15">
        <f t="shared" si="0"/>
        <v>44518.834163387146</v>
      </c>
      <c r="L98" s="5"/>
      <c r="M98" s="7">
        <f t="shared" si="3"/>
        <v>-873.0675673570715</v>
      </c>
      <c r="N98" s="15"/>
    </row>
    <row r="99" spans="3:14" ht="10.5">
      <c r="C99" s="4">
        <f>_XLL.NEXTDATESEQ(C98,PeriodsInt)</f>
        <v>40238</v>
      </c>
      <c r="D99" s="38"/>
      <c r="E99" s="11">
        <f>-_XLL.CON(C99,C100,DrawDate,RepDate,IntRate*SUM(K98),DayCount,PeriodsInt,1)</f>
        <v>-204.9086065602477</v>
      </c>
      <c r="F99" s="11">
        <f t="shared" si="1"/>
        <v>-668.1589607968239</v>
      </c>
      <c r="G99" s="15">
        <f>_XLL.LEVEL(C98,DrawDate,RepDate,RegPmt)+_XLL.LEVEL(C98,XDates,RepDate,XPmts)+_XLL.MKPMTS(C99,C100,XDates,XCap)</f>
        <v>-873.0675673570715</v>
      </c>
      <c r="H99" s="11"/>
      <c r="I99" s="12">
        <f t="shared" si="2"/>
        <v>-873.0675673570715</v>
      </c>
      <c r="J99" s="7"/>
      <c r="K99" s="15">
        <f t="shared" si="0"/>
        <v>43850.67520259032</v>
      </c>
      <c r="L99" s="5"/>
      <c r="M99" s="7">
        <f t="shared" si="3"/>
        <v>-873.0675673570715</v>
      </c>
      <c r="N99" s="15"/>
    </row>
    <row r="100" spans="3:14" ht="10.5">
      <c r="C100" s="4">
        <f>_XLL.NEXTDATESEQ(C99,PeriodsInt)</f>
        <v>40269</v>
      </c>
      <c r="D100" s="38"/>
      <c r="E100" s="11">
        <f>-_XLL.CON(C100,C101,DrawDate,RepDate,IntRate*SUM(K99),DayCount,PeriodsInt,1)</f>
        <v>-223.4582352789534</v>
      </c>
      <c r="F100" s="11">
        <f t="shared" si="1"/>
        <v>-649.6093320781181</v>
      </c>
      <c r="G100" s="15">
        <f>_XLL.LEVEL(C99,DrawDate,RepDate,RegPmt)+_XLL.LEVEL(C99,XDates,RepDate,XPmts)+_XLL.MKPMTS(C100,C101,XDates,XCap)</f>
        <v>-873.0675673570715</v>
      </c>
      <c r="H100" s="11"/>
      <c r="I100" s="12">
        <f t="shared" si="2"/>
        <v>-873.0675673570715</v>
      </c>
      <c r="J100" s="7"/>
      <c r="K100" s="15">
        <f t="shared" si="0"/>
        <v>43201.065870512204</v>
      </c>
      <c r="L100" s="5"/>
      <c r="M100" s="7">
        <f t="shared" si="3"/>
        <v>-873.0675673570715</v>
      </c>
      <c r="N100" s="15"/>
    </row>
    <row r="101" spans="3:14" ht="10.5">
      <c r="C101" s="4">
        <f>_XLL.NEXTDATESEQ(C100,PeriodsInt)</f>
        <v>40299</v>
      </c>
      <c r="D101" s="38"/>
      <c r="E101" s="11">
        <f>-_XLL.CON(C101,C102,DrawDate,RepDate,IntRate*SUM(K100),DayCount,PeriodsInt,1)</f>
        <v>-213.04635223814233</v>
      </c>
      <c r="F101" s="11">
        <f t="shared" si="1"/>
        <v>-660.0212151189291</v>
      </c>
      <c r="G101" s="15">
        <f>_XLL.LEVEL(C100,DrawDate,RepDate,RegPmt)+_XLL.LEVEL(C100,XDates,RepDate,XPmts)+_XLL.MKPMTS(C101,C102,XDates,XCap)</f>
        <v>-873.0675673570715</v>
      </c>
      <c r="H101" s="11"/>
      <c r="I101" s="12">
        <f t="shared" si="2"/>
        <v>-873.0675673570715</v>
      </c>
      <c r="J101" s="7"/>
      <c r="K101" s="15">
        <f t="shared" si="0"/>
        <v>42541.04465539328</v>
      </c>
      <c r="L101" s="5"/>
      <c r="M101" s="7">
        <f t="shared" si="3"/>
        <v>-873.0675673570715</v>
      </c>
      <c r="N101" s="15"/>
    </row>
    <row r="102" spans="3:14" ht="10.5">
      <c r="C102" s="4">
        <f>_XLL.NEXTDATESEQ(C101,PeriodsInt)</f>
        <v>40330</v>
      </c>
      <c r="D102" s="38"/>
      <c r="E102" s="11">
        <f>-_XLL.CON(C102,C103,DrawDate,RepDate,IntRate*SUM(K101),DayCount,PeriodsInt,1)</f>
        <v>-216.78450153159312</v>
      </c>
      <c r="F102" s="11">
        <f t="shared" si="1"/>
        <v>-656.2830658254784</v>
      </c>
      <c r="G102" s="15">
        <f>_XLL.LEVEL(C101,DrawDate,RepDate,RegPmt)+_XLL.LEVEL(C101,XDates,RepDate,XPmts)+_XLL.MKPMTS(C102,C103,XDates,XCap)</f>
        <v>-873.0675673570715</v>
      </c>
      <c r="H102" s="11"/>
      <c r="I102" s="12">
        <f aca="true" t="shared" si="4" ref="I102:I164">SUM(G102:H102)</f>
        <v>-873.0675673570715</v>
      </c>
      <c r="J102" s="7"/>
      <c r="K102" s="15">
        <f aca="true" t="shared" si="5" ref="K102:K164">K101+F102</f>
        <v>41884.7615895678</v>
      </c>
      <c r="L102" s="5"/>
      <c r="M102" s="7">
        <f t="shared" si="3"/>
        <v>-873.0675673570715</v>
      </c>
      <c r="N102" s="15"/>
    </row>
    <row r="103" spans="3:14" ht="10.5">
      <c r="C103" s="4">
        <f>_XLL.NEXTDATESEQ(C102,PeriodsInt)</f>
        <v>40360</v>
      </c>
      <c r="D103" s="38"/>
      <c r="E103" s="11">
        <f>-_XLL.CON(C103,C104,DrawDate,RepDate,IntRate*SUM(K102),DayCount,PeriodsInt,1)</f>
        <v>-206.5549886608823</v>
      </c>
      <c r="F103" s="11">
        <f aca="true" t="shared" si="6" ref="F103:F164">G103-E103</f>
        <v>-666.5125786961893</v>
      </c>
      <c r="G103" s="15">
        <f>_XLL.LEVEL(C102,DrawDate,RepDate,RegPmt)+_XLL.LEVEL(C102,XDates,RepDate,XPmts)+_XLL.MKPMTS(C103,C104,XDates,XCap)</f>
        <v>-873.0675673570715</v>
      </c>
      <c r="H103" s="11"/>
      <c r="I103" s="12">
        <f t="shared" si="4"/>
        <v>-873.0675673570715</v>
      </c>
      <c r="J103" s="7"/>
      <c r="K103" s="15">
        <f t="shared" si="5"/>
        <v>41218.249010871616</v>
      </c>
      <c r="L103" s="5"/>
      <c r="M103" s="7">
        <f aca="true" t="shared" si="7" ref="M103:M165">I103</f>
        <v>-873.0675673570715</v>
      </c>
      <c r="N103" s="15"/>
    </row>
    <row r="104" spans="3:14" ht="10.5">
      <c r="C104" s="4">
        <f>_XLL.NEXTDATESEQ(C103,PeriodsInt)</f>
        <v>40391</v>
      </c>
      <c r="D104" s="38"/>
      <c r="E104" s="11">
        <f>-_XLL.CON(C104,C105,DrawDate,RepDate,IntRate*SUM(K103),DayCount,PeriodsInt,1)</f>
        <v>-210.04367989101698</v>
      </c>
      <c r="F104" s="11">
        <f t="shared" si="6"/>
        <v>-663.0238874660546</v>
      </c>
      <c r="G104" s="15">
        <f>_XLL.LEVEL(C103,DrawDate,RepDate,RegPmt)+_XLL.LEVEL(C103,XDates,RepDate,XPmts)+_XLL.MKPMTS(C104,C105,XDates,XCap)</f>
        <v>-873.0675673570715</v>
      </c>
      <c r="H104" s="11"/>
      <c r="I104" s="12">
        <f t="shared" si="4"/>
        <v>-873.0675673570715</v>
      </c>
      <c r="J104" s="7"/>
      <c r="K104" s="15">
        <f t="shared" si="5"/>
        <v>40555.22512340556</v>
      </c>
      <c r="L104" s="5"/>
      <c r="M104" s="7">
        <f t="shared" si="7"/>
        <v>-873.0675673570715</v>
      </c>
      <c r="N104" s="15"/>
    </row>
    <row r="105" spans="3:14" ht="10.5">
      <c r="C105" s="4">
        <f>_XLL.NEXTDATESEQ(C104,PeriodsInt)</f>
        <v>40422</v>
      </c>
      <c r="D105" s="38"/>
      <c r="E105" s="11">
        <f>-_XLL.CON(C105,C106,DrawDate,RepDate,IntRate*SUM(K104),DayCount,PeriodsInt,1)</f>
        <v>-206.66498282064202</v>
      </c>
      <c r="F105" s="11">
        <f t="shared" si="6"/>
        <v>-666.4025845364295</v>
      </c>
      <c r="G105" s="15">
        <f>_XLL.LEVEL(C104,DrawDate,RepDate,RegPmt)+_XLL.LEVEL(C104,XDates,RepDate,XPmts)+_XLL.MKPMTS(C105,C106,XDates,XCap)</f>
        <v>-873.0675673570715</v>
      </c>
      <c r="H105" s="11"/>
      <c r="I105" s="12">
        <f t="shared" si="4"/>
        <v>-873.0675673570715</v>
      </c>
      <c r="J105" s="7"/>
      <c r="K105" s="15">
        <f t="shared" si="5"/>
        <v>39888.82253886913</v>
      </c>
      <c r="L105" s="5"/>
      <c r="M105" s="7">
        <f t="shared" si="7"/>
        <v>-873.0675673570715</v>
      </c>
      <c r="N105" s="15"/>
    </row>
    <row r="106" spans="3:14" ht="10.5">
      <c r="C106" s="4">
        <f>_XLL.NEXTDATESEQ(C105,PeriodsInt)</f>
        <v>40452</v>
      </c>
      <c r="D106" s="38"/>
      <c r="E106" s="11">
        <f>-_XLL.CON(C106,C107,DrawDate,RepDate,IntRate*SUM(K105),DayCount,PeriodsInt,1)</f>
        <v>-196.71200156154637</v>
      </c>
      <c r="F106" s="11">
        <f t="shared" si="6"/>
        <v>-676.3555657955252</v>
      </c>
      <c r="G106" s="15">
        <f>_XLL.LEVEL(C105,DrawDate,RepDate,RegPmt)+_XLL.LEVEL(C105,XDates,RepDate,XPmts)+_XLL.MKPMTS(C106,C107,XDates,XCap)</f>
        <v>-873.0675673570715</v>
      </c>
      <c r="H106" s="11"/>
      <c r="I106" s="12">
        <f t="shared" si="4"/>
        <v>-873.0675673570715</v>
      </c>
      <c r="J106" s="7"/>
      <c r="K106" s="15">
        <f t="shared" si="5"/>
        <v>39212.466973073606</v>
      </c>
      <c r="L106" s="5"/>
      <c r="M106" s="7">
        <f t="shared" si="7"/>
        <v>-873.0675673570715</v>
      </c>
      <c r="N106" s="15"/>
    </row>
    <row r="107" spans="3:14" ht="10.5">
      <c r="C107" s="4">
        <f>_XLL.NEXTDATESEQ(C106,PeriodsInt)</f>
        <v>40483</v>
      </c>
      <c r="D107" s="38"/>
      <c r="E107" s="11">
        <f>-_XLL.CON(C107,C108,DrawDate,RepDate,IntRate*SUM(K106),DayCount,PeriodsInt,1)</f>
        <v>-199.8224344381285</v>
      </c>
      <c r="F107" s="11">
        <f t="shared" si="6"/>
        <v>-673.245132918943</v>
      </c>
      <c r="G107" s="15">
        <f>_XLL.LEVEL(C106,DrawDate,RepDate,RegPmt)+_XLL.LEVEL(C106,XDates,RepDate,XPmts)+_XLL.MKPMTS(C107,C108,XDates,XCap)</f>
        <v>-873.0675673570715</v>
      </c>
      <c r="H107" s="11"/>
      <c r="I107" s="12">
        <f t="shared" si="4"/>
        <v>-873.0675673570715</v>
      </c>
      <c r="J107" s="7"/>
      <c r="K107" s="15">
        <f t="shared" si="5"/>
        <v>38539.22184015466</v>
      </c>
      <c r="L107" s="5"/>
      <c r="M107" s="7">
        <f t="shared" si="7"/>
        <v>-873.0675673570715</v>
      </c>
      <c r="N107" s="15"/>
    </row>
    <row r="108" spans="3:14" ht="10.5">
      <c r="C108" s="4">
        <f>_XLL.NEXTDATESEQ(C107,PeriodsInt)</f>
        <v>40513</v>
      </c>
      <c r="D108" s="38"/>
      <c r="E108" s="11">
        <f>-_XLL.CON(C108,C109,DrawDate,RepDate,IntRate*SUM(K107),DayCount,PeriodsInt,1)</f>
        <v>-190.0564364719956</v>
      </c>
      <c r="F108" s="11">
        <f t="shared" si="6"/>
        <v>-683.011130885076</v>
      </c>
      <c r="G108" s="15">
        <f>_XLL.LEVEL(C107,DrawDate,RepDate,RegPmt)+_XLL.LEVEL(C107,XDates,RepDate,XPmts)+_XLL.MKPMTS(C108,C109,XDates,XCap)</f>
        <v>-873.0675673570715</v>
      </c>
      <c r="H108" s="11"/>
      <c r="I108" s="12">
        <f t="shared" si="4"/>
        <v>-873.0675673570715</v>
      </c>
      <c r="J108" s="7"/>
      <c r="K108" s="15">
        <f t="shared" si="5"/>
        <v>37856.21070926959</v>
      </c>
      <c r="L108" s="5"/>
      <c r="M108" s="7">
        <f t="shared" si="7"/>
        <v>-873.0675673570715</v>
      </c>
      <c r="N108" s="15"/>
    </row>
    <row r="109" spans="3:14" ht="10.5">
      <c r="C109" s="4">
        <f>_XLL.NEXTDATESEQ(C108,PeriodsInt)</f>
        <v>40544</v>
      </c>
      <c r="D109" s="38"/>
      <c r="E109" s="11">
        <f>-_XLL.CON(C109,C110,DrawDate,RepDate,IntRate*SUM(K108),DayCount,PeriodsInt,1)</f>
        <v>-192.91110114860666</v>
      </c>
      <c r="F109" s="11">
        <f t="shared" si="6"/>
        <v>-680.1564662084648</v>
      </c>
      <c r="G109" s="15">
        <f>_XLL.LEVEL(C108,DrawDate,RepDate,RegPmt)+_XLL.LEVEL(C108,XDates,RepDate,XPmts)+_XLL.MKPMTS(C109,C110,XDates,XCap)</f>
        <v>-873.0675673570715</v>
      </c>
      <c r="H109" s="11"/>
      <c r="I109" s="12">
        <f t="shared" si="4"/>
        <v>-873.0675673570715</v>
      </c>
      <c r="J109" s="7"/>
      <c r="K109" s="15">
        <f t="shared" si="5"/>
        <v>37176.054243061124</v>
      </c>
      <c r="L109" s="5"/>
      <c r="M109" s="7">
        <f t="shared" si="7"/>
        <v>-873.0675673570715</v>
      </c>
      <c r="N109" s="15"/>
    </row>
    <row r="110" spans="3:14" ht="10.5">
      <c r="C110" s="4">
        <f>_XLL.NEXTDATESEQ(C109,PeriodsInt)</f>
        <v>40575</v>
      </c>
      <c r="D110" s="38"/>
      <c r="E110" s="11">
        <f>-_XLL.CON(C110,C111,DrawDate,RepDate,IntRate*SUM(K109),DayCount,PeriodsInt,1)</f>
        <v>-189.44509833450326</v>
      </c>
      <c r="F110" s="11">
        <f t="shared" si="6"/>
        <v>-683.6224690225683</v>
      </c>
      <c r="G110" s="15">
        <f>_XLL.LEVEL(C109,DrawDate,RepDate,RegPmt)+_XLL.LEVEL(C109,XDates,RepDate,XPmts)+_XLL.MKPMTS(C110,C111,XDates,XCap)</f>
        <v>-873.0675673570715</v>
      </c>
      <c r="H110" s="11"/>
      <c r="I110" s="12">
        <f t="shared" si="4"/>
        <v>-873.0675673570715</v>
      </c>
      <c r="J110" s="7"/>
      <c r="K110" s="15">
        <f t="shared" si="5"/>
        <v>36492.43177403855</v>
      </c>
      <c r="L110" s="5"/>
      <c r="M110" s="7">
        <f t="shared" si="7"/>
        <v>-873.0675673570715</v>
      </c>
      <c r="N110" s="15"/>
    </row>
    <row r="111" spans="3:14" ht="10.5">
      <c r="C111" s="4">
        <f>_XLL.NEXTDATESEQ(C110,PeriodsInt)</f>
        <v>40603</v>
      </c>
      <c r="D111" s="38"/>
      <c r="E111" s="11">
        <f>-_XLL.CON(C111,C112,DrawDate,RepDate,IntRate*SUM(K110),DayCount,PeriodsInt,1)</f>
        <v>-167.9651654257117</v>
      </c>
      <c r="F111" s="11">
        <f t="shared" si="6"/>
        <v>-705.1024019313599</v>
      </c>
      <c r="G111" s="15">
        <f>_XLL.LEVEL(C110,DrawDate,RepDate,RegPmt)+_XLL.LEVEL(C110,XDates,RepDate,XPmts)+_XLL.MKPMTS(C111,C112,XDates,XCap)</f>
        <v>-873.0675673570715</v>
      </c>
      <c r="H111" s="11"/>
      <c r="I111" s="12">
        <f t="shared" si="4"/>
        <v>-873.0675673570715</v>
      </c>
      <c r="J111" s="7"/>
      <c r="K111" s="15">
        <f t="shared" si="5"/>
        <v>35787.32937210719</v>
      </c>
      <c r="L111" s="5"/>
      <c r="M111" s="7">
        <f t="shared" si="7"/>
        <v>-873.0675673570715</v>
      </c>
      <c r="N111" s="15"/>
    </row>
    <row r="112" spans="3:14" ht="10.5">
      <c r="C112" s="4">
        <f>_XLL.NEXTDATESEQ(C111,PeriodsInt)</f>
        <v>40634</v>
      </c>
      <c r="D112" s="38"/>
      <c r="E112" s="11">
        <f>-_XLL.CON(C112,C113,DrawDate,RepDate,IntRate*SUM(K111),DayCount,PeriodsInt,1)</f>
        <v>-182.36830858114897</v>
      </c>
      <c r="F112" s="11">
        <f t="shared" si="6"/>
        <v>-690.6992587759225</v>
      </c>
      <c r="G112" s="15">
        <f>_XLL.LEVEL(C111,DrawDate,RepDate,RegPmt)+_XLL.LEVEL(C111,XDates,RepDate,XPmts)+_XLL.MKPMTS(C112,C113,XDates,XCap)</f>
        <v>-873.0675673570715</v>
      </c>
      <c r="H112" s="11"/>
      <c r="I112" s="12">
        <f t="shared" si="4"/>
        <v>-873.0675673570715</v>
      </c>
      <c r="J112" s="7"/>
      <c r="K112" s="15">
        <f t="shared" si="5"/>
        <v>35096.630113331266</v>
      </c>
      <c r="L112" s="5"/>
      <c r="M112" s="7">
        <f t="shared" si="7"/>
        <v>-873.0675673570715</v>
      </c>
      <c r="N112" s="15"/>
    </row>
    <row r="113" spans="3:14" ht="10.5">
      <c r="C113" s="4">
        <f>_XLL.NEXTDATESEQ(C112,PeriodsInt)</f>
        <v>40664</v>
      </c>
      <c r="D113" s="38"/>
      <c r="E113" s="11">
        <f>-_XLL.CON(C113,C114,DrawDate,RepDate,IntRate*SUM(K112),DayCount,PeriodsInt,1)</f>
        <v>-173.07927179177062</v>
      </c>
      <c r="F113" s="11">
        <f t="shared" si="6"/>
        <v>-699.9882955653009</v>
      </c>
      <c r="G113" s="15">
        <f>_XLL.LEVEL(C112,DrawDate,RepDate,RegPmt)+_XLL.LEVEL(C112,XDates,RepDate,XPmts)+_XLL.MKPMTS(C113,C114,XDates,XCap)</f>
        <v>-873.0675673570715</v>
      </c>
      <c r="H113" s="11"/>
      <c r="I113" s="12">
        <f t="shared" si="4"/>
        <v>-873.0675673570715</v>
      </c>
      <c r="J113" s="7"/>
      <c r="K113" s="15">
        <f t="shared" si="5"/>
        <v>34396.641817765965</v>
      </c>
      <c r="L113" s="5"/>
      <c r="M113" s="7">
        <f t="shared" si="7"/>
        <v>-873.0675673570715</v>
      </c>
      <c r="N113" s="15"/>
    </row>
    <row r="114" spans="3:14" ht="10.5">
      <c r="C114" s="4">
        <f>_XLL.NEXTDATESEQ(C113,PeriodsInt)</f>
        <v>40695</v>
      </c>
      <c r="D114" s="38"/>
      <c r="E114" s="11">
        <f>-_XLL.CON(C114,C115,DrawDate,RepDate,IntRate*SUM(K113),DayCount,PeriodsInt,1)</f>
        <v>-175.2815172083416</v>
      </c>
      <c r="F114" s="11">
        <f t="shared" si="6"/>
        <v>-697.7860501487299</v>
      </c>
      <c r="G114" s="15">
        <f>_XLL.LEVEL(C113,DrawDate,RepDate,RegPmt)+_XLL.LEVEL(C113,XDates,RepDate,XPmts)+_XLL.MKPMTS(C114,C115,XDates,XCap)</f>
        <v>-873.0675673570715</v>
      </c>
      <c r="H114" s="11"/>
      <c r="I114" s="12">
        <f t="shared" si="4"/>
        <v>-873.0675673570715</v>
      </c>
      <c r="J114" s="7"/>
      <c r="K114" s="15">
        <f t="shared" si="5"/>
        <v>33698.855767617235</v>
      </c>
      <c r="L114" s="5"/>
      <c r="M114" s="7">
        <f t="shared" si="7"/>
        <v>-873.0675673570715</v>
      </c>
      <c r="N114" s="15"/>
    </row>
    <row r="115" spans="3:14" ht="10.5">
      <c r="C115" s="4">
        <f>_XLL.NEXTDATESEQ(C114,PeriodsInt)</f>
        <v>40725</v>
      </c>
      <c r="D115" s="38"/>
      <c r="E115" s="11">
        <f>-_XLL.CON(C115,C116,DrawDate,RepDate,IntRate*SUM(K114),DayCount,PeriodsInt,1)</f>
        <v>-166.18613803208498</v>
      </c>
      <c r="F115" s="11">
        <f t="shared" si="6"/>
        <v>-706.8814293249866</v>
      </c>
      <c r="G115" s="15">
        <f>_XLL.LEVEL(C114,DrawDate,RepDate,RegPmt)+_XLL.LEVEL(C114,XDates,RepDate,XPmts)+_XLL.MKPMTS(C115,C116,XDates,XCap)</f>
        <v>-873.0675673570715</v>
      </c>
      <c r="H115" s="11"/>
      <c r="I115" s="12">
        <f t="shared" si="4"/>
        <v>-873.0675673570715</v>
      </c>
      <c r="J115" s="7"/>
      <c r="K115" s="15">
        <f t="shared" si="5"/>
        <v>32991.974338292246</v>
      </c>
      <c r="L115" s="5"/>
      <c r="M115" s="7">
        <f t="shared" si="7"/>
        <v>-873.0675673570715</v>
      </c>
      <c r="N115" s="15"/>
    </row>
    <row r="116" spans="3:14" ht="10.5">
      <c r="C116" s="4">
        <f>_XLL.NEXTDATESEQ(C115,PeriodsInt)</f>
        <v>40756</v>
      </c>
      <c r="D116" s="38"/>
      <c r="E116" s="11">
        <f>-_XLL.CON(C116,C117,DrawDate,RepDate,IntRate*SUM(K115),DayCount,PeriodsInt,1)</f>
        <v>-168.12348566910566</v>
      </c>
      <c r="F116" s="11">
        <f t="shared" si="6"/>
        <v>-704.9440816879659</v>
      </c>
      <c r="G116" s="15">
        <f>_XLL.LEVEL(C115,DrawDate,RepDate,RegPmt)+_XLL.LEVEL(C115,XDates,RepDate,XPmts)+_XLL.MKPMTS(C116,C117,XDates,XCap)</f>
        <v>-873.0675673570715</v>
      </c>
      <c r="H116" s="11"/>
      <c r="I116" s="12">
        <f t="shared" si="4"/>
        <v>-873.0675673570715</v>
      </c>
      <c r="J116" s="7"/>
      <c r="K116" s="15">
        <f t="shared" si="5"/>
        <v>32287.03025660428</v>
      </c>
      <c r="L116" s="5"/>
      <c r="M116" s="7">
        <f t="shared" si="7"/>
        <v>-873.0675673570715</v>
      </c>
      <c r="N116" s="15"/>
    </row>
    <row r="117" spans="3:14" ht="10.5">
      <c r="C117" s="4">
        <f>_XLL.NEXTDATESEQ(C116,PeriodsInt)</f>
        <v>40787</v>
      </c>
      <c r="D117" s="38"/>
      <c r="E117" s="11">
        <f>-_XLL.CON(C117,C118,DrawDate,RepDate,IntRate*SUM(K116),DayCount,PeriodsInt,1)</f>
        <v>-164.53116788296975</v>
      </c>
      <c r="F117" s="11">
        <f t="shared" si="6"/>
        <v>-708.5363994741018</v>
      </c>
      <c r="G117" s="15">
        <f>_XLL.LEVEL(C116,DrawDate,RepDate,RegPmt)+_XLL.LEVEL(C116,XDates,RepDate,XPmts)+_XLL.MKPMTS(C117,C118,XDates,XCap)</f>
        <v>-873.0675673570715</v>
      </c>
      <c r="H117" s="11"/>
      <c r="I117" s="12">
        <f t="shared" si="4"/>
        <v>-873.0675673570715</v>
      </c>
      <c r="J117" s="7"/>
      <c r="K117" s="15">
        <f t="shared" si="5"/>
        <v>31578.49385713018</v>
      </c>
      <c r="L117" s="5"/>
      <c r="M117" s="7">
        <f t="shared" si="7"/>
        <v>-873.0675673570715</v>
      </c>
      <c r="N117" s="15"/>
    </row>
    <row r="118" spans="3:14" ht="10.5">
      <c r="C118" s="4">
        <f>_XLL.NEXTDATESEQ(C117,PeriodsInt)</f>
        <v>40817</v>
      </c>
      <c r="D118" s="38"/>
      <c r="E118" s="11">
        <f>-_XLL.CON(C118,C119,DrawDate,RepDate,IntRate*SUM(K117),DayCount,PeriodsInt,1)</f>
        <v>-155.72955874749127</v>
      </c>
      <c r="F118" s="11">
        <f t="shared" si="6"/>
        <v>-717.3380086095802</v>
      </c>
      <c r="G118" s="15">
        <f>_XLL.LEVEL(C117,DrawDate,RepDate,RegPmt)+_XLL.LEVEL(C117,XDates,RepDate,XPmts)+_XLL.MKPMTS(C118,C119,XDates,XCap)</f>
        <v>-873.0675673570715</v>
      </c>
      <c r="H118" s="11"/>
      <c r="I118" s="12">
        <f t="shared" si="4"/>
        <v>-873.0675673570715</v>
      </c>
      <c r="J118" s="7"/>
      <c r="K118" s="15">
        <f t="shared" si="5"/>
        <v>30861.1558485206</v>
      </c>
      <c r="L118" s="5"/>
      <c r="M118" s="7">
        <f t="shared" si="7"/>
        <v>-873.0675673570715</v>
      </c>
      <c r="N118" s="15"/>
    </row>
    <row r="119" spans="3:14" ht="10.5">
      <c r="C119" s="4">
        <f>_XLL.NEXTDATESEQ(C118,PeriodsInt)</f>
        <v>40848</v>
      </c>
      <c r="D119" s="38"/>
      <c r="E119" s="11">
        <f>-_XLL.CON(C119,C120,DrawDate,RepDate,IntRate*SUM(K118),DayCount,PeriodsInt,1)</f>
        <v>-157.26506815958442</v>
      </c>
      <c r="F119" s="11">
        <f t="shared" si="6"/>
        <v>-715.8024991974871</v>
      </c>
      <c r="G119" s="15">
        <f>_XLL.LEVEL(C118,DrawDate,RepDate,RegPmt)+_XLL.LEVEL(C118,XDates,RepDate,XPmts)+_XLL.MKPMTS(C119,C120,XDates,XCap)</f>
        <v>-873.0675673570715</v>
      </c>
      <c r="H119" s="11"/>
      <c r="I119" s="12">
        <f t="shared" si="4"/>
        <v>-873.0675673570715</v>
      </c>
      <c r="J119" s="7"/>
      <c r="K119" s="15">
        <f t="shared" si="5"/>
        <v>30145.353349323115</v>
      </c>
      <c r="L119" s="5"/>
      <c r="M119" s="7">
        <f t="shared" si="7"/>
        <v>-873.0675673570715</v>
      </c>
      <c r="N119" s="15"/>
    </row>
    <row r="120" spans="3:14" ht="10.5">
      <c r="C120" s="4">
        <f>_XLL.NEXTDATESEQ(C119,PeriodsInt)</f>
        <v>40878</v>
      </c>
      <c r="D120" s="38"/>
      <c r="E120" s="11">
        <f>-_XLL.CON(C120,C121,DrawDate,RepDate,IntRate*SUM(K119),DayCount,PeriodsInt,1)</f>
        <v>-148.66201651720988</v>
      </c>
      <c r="F120" s="11">
        <f t="shared" si="6"/>
        <v>-724.4055508398617</v>
      </c>
      <c r="G120" s="15">
        <f>_XLL.LEVEL(C119,DrawDate,RepDate,RegPmt)+_XLL.LEVEL(C119,XDates,RepDate,XPmts)+_XLL.MKPMTS(C120,C121,XDates,XCap)</f>
        <v>-873.0675673570715</v>
      </c>
      <c r="H120" s="11"/>
      <c r="I120" s="12">
        <f t="shared" si="4"/>
        <v>-873.0675673570715</v>
      </c>
      <c r="J120" s="7"/>
      <c r="K120" s="15">
        <f t="shared" si="5"/>
        <v>29420.947798483252</v>
      </c>
      <c r="L120" s="5"/>
      <c r="M120" s="7">
        <f t="shared" si="7"/>
        <v>-873.0675673570715</v>
      </c>
      <c r="N120" s="15"/>
    </row>
    <row r="121" spans="3:14" ht="10.5">
      <c r="C121" s="4">
        <f>_XLL.NEXTDATESEQ(C120,PeriodsInt)</f>
        <v>40909</v>
      </c>
      <c r="D121" s="38"/>
      <c r="E121" s="11">
        <f>-_XLL.CON(C121,C122,DrawDate,RepDate,IntRate*SUM(K120),DayCount,PeriodsInt,1)</f>
        <v>-149.92592576761328</v>
      </c>
      <c r="F121" s="11">
        <f t="shared" si="6"/>
        <v>-723.1416415894582</v>
      </c>
      <c r="G121" s="15">
        <f>_XLL.LEVEL(C120,DrawDate,RepDate,RegPmt)+_XLL.LEVEL(C120,XDates,RepDate,XPmts)+_XLL.MKPMTS(C121,C122,XDates,XCap)</f>
        <v>-873.0675673570715</v>
      </c>
      <c r="H121" s="11"/>
      <c r="I121" s="12">
        <f t="shared" si="4"/>
        <v>-873.0675673570715</v>
      </c>
      <c r="J121" s="7"/>
      <c r="K121" s="15">
        <f t="shared" si="5"/>
        <v>28697.806156893792</v>
      </c>
      <c r="L121" s="5"/>
      <c r="M121" s="7">
        <f t="shared" si="7"/>
        <v>-873.0675673570715</v>
      </c>
      <c r="N121" s="15"/>
    </row>
    <row r="122" spans="3:14" ht="10.5">
      <c r="C122" s="4">
        <f>_XLL.NEXTDATESEQ(C121,PeriodsInt)</f>
        <v>40940</v>
      </c>
      <c r="D122" s="38"/>
      <c r="E122" s="11">
        <f>-_XLL.CON(C122,C123,DrawDate,RepDate,IntRate*SUM(K121),DayCount,PeriodsInt,1)</f>
        <v>-146.24087521047247</v>
      </c>
      <c r="F122" s="11">
        <f t="shared" si="6"/>
        <v>-726.826692146599</v>
      </c>
      <c r="G122" s="15">
        <f>_XLL.LEVEL(C121,DrawDate,RepDate,RegPmt)+_XLL.LEVEL(C121,XDates,RepDate,XPmts)+_XLL.MKPMTS(C122,C123,XDates,XCap)</f>
        <v>-873.0675673570715</v>
      </c>
      <c r="H122" s="11"/>
      <c r="I122" s="12">
        <f t="shared" si="4"/>
        <v>-873.0675673570715</v>
      </c>
      <c r="J122" s="7"/>
      <c r="K122" s="15">
        <f t="shared" si="5"/>
        <v>27970.979464747194</v>
      </c>
      <c r="L122" s="5"/>
      <c r="M122" s="7">
        <f t="shared" si="7"/>
        <v>-873.0675673570715</v>
      </c>
      <c r="N122" s="15"/>
    </row>
    <row r="123" spans="3:14" ht="10.5">
      <c r="C123" s="4">
        <f>_XLL.NEXTDATESEQ(C122,PeriodsInt)</f>
        <v>40969</v>
      </c>
      <c r="D123" s="38"/>
      <c r="E123" s="11">
        <f>-_XLL.CON(C123,C124,DrawDate,RepDate,IntRate*SUM(K122),DayCount,PeriodsInt,1)</f>
        <v>-133.34110758537017</v>
      </c>
      <c r="F123" s="11">
        <f t="shared" si="6"/>
        <v>-739.7264597717013</v>
      </c>
      <c r="G123" s="15">
        <f>_XLL.LEVEL(C122,DrawDate,RepDate,RegPmt)+_XLL.LEVEL(C122,XDates,RepDate,XPmts)+_XLL.MKPMTS(C123,C124,XDates,XCap)</f>
        <v>-873.0675673570715</v>
      </c>
      <c r="H123" s="11"/>
      <c r="I123" s="12">
        <f t="shared" si="4"/>
        <v>-873.0675673570715</v>
      </c>
      <c r="J123" s="7"/>
      <c r="K123" s="15">
        <f t="shared" si="5"/>
        <v>27231.253004975493</v>
      </c>
      <c r="L123" s="5"/>
      <c r="M123" s="7">
        <f t="shared" si="7"/>
        <v>-873.0675673570715</v>
      </c>
      <c r="N123" s="15"/>
    </row>
    <row r="124" spans="3:14" ht="10.5">
      <c r="C124" s="4">
        <f>_XLL.NEXTDATESEQ(C123,PeriodsInt)</f>
        <v>41000</v>
      </c>
      <c r="D124" s="38"/>
      <c r="E124" s="11">
        <f>-_XLL.CON(C124,C125,DrawDate,RepDate,IntRate*SUM(K123),DayCount,PeriodsInt,1)</f>
        <v>-138.76748106645044</v>
      </c>
      <c r="F124" s="11">
        <f t="shared" si="6"/>
        <v>-734.300086290621</v>
      </c>
      <c r="G124" s="15">
        <f>_XLL.LEVEL(C123,DrawDate,RepDate,RegPmt)+_XLL.LEVEL(C123,XDates,RepDate,XPmts)+_XLL.MKPMTS(C124,C125,XDates,XCap)</f>
        <v>-873.0675673570715</v>
      </c>
      <c r="H124" s="11"/>
      <c r="I124" s="12">
        <f t="shared" si="4"/>
        <v>-873.0675673570715</v>
      </c>
      <c r="J124" s="7"/>
      <c r="K124" s="15">
        <f t="shared" si="5"/>
        <v>26496.952918684874</v>
      </c>
      <c r="L124" s="5"/>
      <c r="M124" s="7">
        <f t="shared" si="7"/>
        <v>-873.0675673570715</v>
      </c>
      <c r="N124" s="15"/>
    </row>
    <row r="125" spans="3:14" ht="10.5">
      <c r="C125" s="4">
        <f>_XLL.NEXTDATESEQ(C124,PeriodsInt)</f>
        <v>41030</v>
      </c>
      <c r="D125" s="38"/>
      <c r="E125" s="11">
        <f>-_XLL.CON(C125,C126,DrawDate,RepDate,IntRate*SUM(K124),DayCount,PeriodsInt,1)</f>
        <v>-130.66990480447333</v>
      </c>
      <c r="F125" s="11">
        <f t="shared" si="6"/>
        <v>-742.3976625525981</v>
      </c>
      <c r="G125" s="15">
        <f>_XLL.LEVEL(C124,DrawDate,RepDate,RegPmt)+_XLL.LEVEL(C124,XDates,RepDate,XPmts)+_XLL.MKPMTS(C125,C126,XDates,XCap)</f>
        <v>-873.0675673570715</v>
      </c>
      <c r="H125" s="11"/>
      <c r="I125" s="12">
        <f t="shared" si="4"/>
        <v>-873.0675673570715</v>
      </c>
      <c r="J125" s="7"/>
      <c r="K125" s="15">
        <f t="shared" si="5"/>
        <v>25754.555256132277</v>
      </c>
      <c r="L125" s="5"/>
      <c r="M125" s="7">
        <f t="shared" si="7"/>
        <v>-873.0675673570715</v>
      </c>
      <c r="N125" s="15"/>
    </row>
    <row r="126" spans="3:14" ht="10.5">
      <c r="C126" s="4">
        <f>_XLL.NEXTDATESEQ(C125,PeriodsInt)</f>
        <v>41061</v>
      </c>
      <c r="D126" s="38"/>
      <c r="E126" s="11">
        <f>-_XLL.CON(C126,C127,DrawDate,RepDate,IntRate*SUM(K125),DayCount,PeriodsInt,1)</f>
        <v>-131.24239116823568</v>
      </c>
      <c r="F126" s="11">
        <f t="shared" si="6"/>
        <v>-741.8251761888358</v>
      </c>
      <c r="G126" s="15">
        <f>_XLL.LEVEL(C125,DrawDate,RepDate,RegPmt)+_XLL.LEVEL(C125,XDates,RepDate,XPmts)+_XLL.MKPMTS(C126,C127,XDates,XCap)</f>
        <v>-873.0675673570715</v>
      </c>
      <c r="H126" s="11"/>
      <c r="I126" s="12">
        <f t="shared" si="4"/>
        <v>-873.0675673570715</v>
      </c>
      <c r="J126" s="7"/>
      <c r="K126" s="15">
        <f t="shared" si="5"/>
        <v>25012.73007994344</v>
      </c>
      <c r="L126" s="5"/>
      <c r="M126" s="7">
        <f t="shared" si="7"/>
        <v>-873.0675673570715</v>
      </c>
      <c r="N126" s="15"/>
    </row>
    <row r="127" spans="3:14" ht="10.5">
      <c r="C127" s="4">
        <f>_XLL.NEXTDATESEQ(C126,PeriodsInt)</f>
        <v>41091</v>
      </c>
      <c r="D127" s="38"/>
      <c r="E127" s="11">
        <f>-_XLL.CON(C127,C128,DrawDate,RepDate,IntRate*SUM(K126),DayCount,PeriodsInt,1)</f>
        <v>-123.3504497093101</v>
      </c>
      <c r="F127" s="11">
        <f t="shared" si="6"/>
        <v>-749.7171176477615</v>
      </c>
      <c r="G127" s="15">
        <f>_XLL.LEVEL(C126,DrawDate,RepDate,RegPmt)+_XLL.LEVEL(C126,XDates,RepDate,XPmts)+_XLL.MKPMTS(C127,C128,XDates,XCap)</f>
        <v>-873.0675673570715</v>
      </c>
      <c r="H127" s="11"/>
      <c r="I127" s="12">
        <f t="shared" si="4"/>
        <v>-873.0675673570715</v>
      </c>
      <c r="J127" s="7"/>
      <c r="K127" s="15">
        <f t="shared" si="5"/>
        <v>24263.01296229568</v>
      </c>
      <c r="L127" s="5"/>
      <c r="M127" s="7">
        <f t="shared" si="7"/>
        <v>-873.0675673570715</v>
      </c>
      <c r="N127" s="15"/>
    </row>
    <row r="128" spans="3:14" ht="10.5">
      <c r="C128" s="4">
        <f>_XLL.NEXTDATESEQ(C127,PeriodsInt)</f>
        <v>41122</v>
      </c>
      <c r="D128" s="38"/>
      <c r="E128" s="11">
        <f>-_XLL.CON(C128,C129,DrawDate,RepDate,IntRate*SUM(K127),DayCount,PeriodsInt,1)</f>
        <v>-123.64165509553416</v>
      </c>
      <c r="F128" s="11">
        <f t="shared" si="6"/>
        <v>-749.4259122615374</v>
      </c>
      <c r="G128" s="15">
        <f>_XLL.LEVEL(C127,DrawDate,RepDate,RegPmt)+_XLL.LEVEL(C127,XDates,RepDate,XPmts)+_XLL.MKPMTS(C128,C129,XDates,XCap)</f>
        <v>-873.0675673570715</v>
      </c>
      <c r="H128" s="11"/>
      <c r="I128" s="12">
        <f t="shared" si="4"/>
        <v>-873.0675673570715</v>
      </c>
      <c r="J128" s="7"/>
      <c r="K128" s="15">
        <f t="shared" si="5"/>
        <v>23513.587050034144</v>
      </c>
      <c r="L128" s="5"/>
      <c r="M128" s="7">
        <f t="shared" si="7"/>
        <v>-873.0675673570715</v>
      </c>
      <c r="N128" s="15"/>
    </row>
    <row r="129" spans="3:14" ht="10.5">
      <c r="C129" s="4">
        <f>_XLL.NEXTDATESEQ(C128,PeriodsInt)</f>
        <v>41153</v>
      </c>
      <c r="D129" s="38"/>
      <c r="E129" s="11">
        <f>-_XLL.CON(C129,C130,DrawDate,RepDate,IntRate*SUM(K128),DayCount,PeriodsInt,1)</f>
        <v>-119.82266277551646</v>
      </c>
      <c r="F129" s="11">
        <f t="shared" si="6"/>
        <v>-753.244904581555</v>
      </c>
      <c r="G129" s="15">
        <f>_XLL.LEVEL(C128,DrawDate,RepDate,RegPmt)+_XLL.LEVEL(C128,XDates,RepDate,XPmts)+_XLL.MKPMTS(C129,C130,XDates,XCap)</f>
        <v>-873.0675673570715</v>
      </c>
      <c r="H129" s="11"/>
      <c r="I129" s="12">
        <f t="shared" si="4"/>
        <v>-873.0675673570715</v>
      </c>
      <c r="J129" s="7"/>
      <c r="K129" s="15">
        <f t="shared" si="5"/>
        <v>22760.34214545259</v>
      </c>
      <c r="L129" s="5"/>
      <c r="M129" s="7">
        <f t="shared" si="7"/>
        <v>-873.0675673570715</v>
      </c>
      <c r="N129" s="15"/>
    </row>
    <row r="130" spans="3:14" ht="10.5">
      <c r="C130" s="4">
        <f>_XLL.NEXTDATESEQ(C129,PeriodsInt)</f>
        <v>41183</v>
      </c>
      <c r="D130" s="38"/>
      <c r="E130" s="11">
        <f>-_XLL.CON(C130,C131,DrawDate,RepDate,IntRate*SUM(K129),DayCount,PeriodsInt,1)</f>
        <v>-112.24278318305385</v>
      </c>
      <c r="F130" s="11">
        <f t="shared" si="6"/>
        <v>-760.8247841740177</v>
      </c>
      <c r="G130" s="15">
        <f>_XLL.LEVEL(C129,DrawDate,RepDate,RegPmt)+_XLL.LEVEL(C129,XDates,RepDate,XPmts)+_XLL.MKPMTS(C130,C131,XDates,XCap)</f>
        <v>-873.0675673570715</v>
      </c>
      <c r="H130" s="11"/>
      <c r="I130" s="12">
        <f t="shared" si="4"/>
        <v>-873.0675673570715</v>
      </c>
      <c r="J130" s="7"/>
      <c r="K130" s="15">
        <f t="shared" si="5"/>
        <v>21999.51736127857</v>
      </c>
      <c r="L130" s="5"/>
      <c r="M130" s="7">
        <f t="shared" si="7"/>
        <v>-873.0675673570715</v>
      </c>
      <c r="N130" s="15"/>
    </row>
    <row r="131" spans="3:14" ht="10.5">
      <c r="C131" s="4">
        <f>_XLL.NEXTDATESEQ(C130,PeriodsInt)</f>
        <v>41214</v>
      </c>
      <c r="D131" s="38"/>
      <c r="E131" s="11">
        <f>-_XLL.CON(C131,C132,DrawDate,RepDate,IntRate*SUM(K130),DayCount,PeriodsInt,1)</f>
        <v>-112.10712956706338</v>
      </c>
      <c r="F131" s="11">
        <f t="shared" si="6"/>
        <v>-760.9604377900082</v>
      </c>
      <c r="G131" s="15">
        <f>_XLL.LEVEL(C130,DrawDate,RepDate,RegPmt)+_XLL.LEVEL(C130,XDates,RepDate,XPmts)+_XLL.MKPMTS(C131,C132,XDates,XCap)</f>
        <v>-873.0675673570715</v>
      </c>
      <c r="H131" s="11"/>
      <c r="I131" s="12">
        <f t="shared" si="4"/>
        <v>-873.0675673570715</v>
      </c>
      <c r="J131" s="7"/>
      <c r="K131" s="15">
        <f t="shared" si="5"/>
        <v>21238.556923488562</v>
      </c>
      <c r="L131" s="5"/>
      <c r="M131" s="7">
        <f t="shared" si="7"/>
        <v>-873.0675673570715</v>
      </c>
      <c r="N131" s="15"/>
    </row>
    <row r="132" spans="3:14" ht="10.5">
      <c r="C132" s="4">
        <f>_XLL.NEXTDATESEQ(C131,PeriodsInt)</f>
        <v>41244</v>
      </c>
      <c r="D132" s="38"/>
      <c r="E132" s="11">
        <f>-_XLL.CON(C132,C133,DrawDate,RepDate,IntRate*SUM(K131),DayCount,PeriodsInt,1)</f>
        <v>-104.7380889377518</v>
      </c>
      <c r="F132" s="11">
        <f t="shared" si="6"/>
        <v>-768.3294784193197</v>
      </c>
      <c r="G132" s="15">
        <f>_XLL.LEVEL(C131,DrawDate,RepDate,RegPmt)+_XLL.LEVEL(C131,XDates,RepDate,XPmts)+_XLL.MKPMTS(C132,C133,XDates,XCap)</f>
        <v>-873.0675673570715</v>
      </c>
      <c r="H132" s="11"/>
      <c r="I132" s="12">
        <f t="shared" si="4"/>
        <v>-873.0675673570715</v>
      </c>
      <c r="J132" s="7"/>
      <c r="K132" s="15">
        <f t="shared" si="5"/>
        <v>20470.227445069242</v>
      </c>
      <c r="L132" s="5"/>
      <c r="M132" s="7">
        <f t="shared" si="7"/>
        <v>-873.0675673570715</v>
      </c>
      <c r="N132" s="15"/>
    </row>
    <row r="133" spans="3:14" ht="10.5">
      <c r="C133" s="4">
        <f>_XLL.NEXTDATESEQ(C132,PeriodsInt)</f>
        <v>41275</v>
      </c>
      <c r="D133" s="38"/>
      <c r="E133" s="11">
        <f>-_XLL.CON(C133,C134,DrawDate,RepDate,IntRate*SUM(K132),DayCount,PeriodsInt,1)</f>
        <v>-104.31403574747613</v>
      </c>
      <c r="F133" s="11">
        <f t="shared" si="6"/>
        <v>-768.7535316095954</v>
      </c>
      <c r="G133" s="15">
        <f>_XLL.LEVEL(C132,DrawDate,RepDate,RegPmt)+_XLL.LEVEL(C132,XDates,RepDate,XPmts)+_XLL.MKPMTS(C133,C134,XDates,XCap)</f>
        <v>-873.0675673570715</v>
      </c>
      <c r="H133" s="11"/>
      <c r="I133" s="12">
        <f t="shared" si="4"/>
        <v>-873.0675673570715</v>
      </c>
      <c r="J133" s="7"/>
      <c r="K133" s="15">
        <f t="shared" si="5"/>
        <v>19701.473913459646</v>
      </c>
      <c r="L133" s="5"/>
      <c r="M133" s="7">
        <f t="shared" si="7"/>
        <v>-873.0675673570715</v>
      </c>
      <c r="N133" s="15"/>
    </row>
    <row r="134" spans="3:14" ht="10.5">
      <c r="C134" s="4">
        <f>_XLL.NEXTDATESEQ(C133,PeriodsInt)</f>
        <v>41306</v>
      </c>
      <c r="D134" s="38"/>
      <c r="E134" s="11">
        <f>-_XLL.CON(C134,C135,DrawDate,RepDate,IntRate*SUM(K133),DayCount,PeriodsInt,1)</f>
        <v>-100.396551997356</v>
      </c>
      <c r="F134" s="11">
        <f t="shared" si="6"/>
        <v>-772.6710153597155</v>
      </c>
      <c r="G134" s="15">
        <f>_XLL.LEVEL(C133,DrawDate,RepDate,RegPmt)+_XLL.LEVEL(C133,XDates,RepDate,XPmts)+_XLL.MKPMTS(C134,C135,XDates,XCap)</f>
        <v>-873.0675673570715</v>
      </c>
      <c r="H134" s="11"/>
      <c r="I134" s="12">
        <f t="shared" si="4"/>
        <v>-873.0675673570715</v>
      </c>
      <c r="J134" s="7"/>
      <c r="K134" s="15">
        <f t="shared" si="5"/>
        <v>18928.80289809993</v>
      </c>
      <c r="L134" s="5"/>
      <c r="M134" s="7">
        <f t="shared" si="7"/>
        <v>-873.0675673570715</v>
      </c>
      <c r="N134" s="15"/>
    </row>
    <row r="135" spans="3:14" ht="10.5">
      <c r="C135" s="4">
        <f>_XLL.NEXTDATESEQ(C134,PeriodsInt)</f>
        <v>41334</v>
      </c>
      <c r="D135" s="38"/>
      <c r="E135" s="11">
        <f>-_XLL.CON(C135,C136,DrawDate,RepDate,IntRate*SUM(K134),DayCount,PeriodsInt,1)</f>
        <v>-87.12435306522708</v>
      </c>
      <c r="F135" s="11">
        <f t="shared" si="6"/>
        <v>-785.9432142918445</v>
      </c>
      <c r="G135" s="15">
        <f>_XLL.LEVEL(C134,DrawDate,RepDate,RegPmt)+_XLL.LEVEL(C134,XDates,RepDate,XPmts)+_XLL.MKPMTS(C135,C136,XDates,XCap)</f>
        <v>-873.0675673570715</v>
      </c>
      <c r="H135" s="11"/>
      <c r="I135" s="12">
        <f t="shared" si="4"/>
        <v>-873.0675673570715</v>
      </c>
      <c r="J135" s="7"/>
      <c r="K135" s="15">
        <f t="shared" si="5"/>
        <v>18142.859683808085</v>
      </c>
      <c r="L135" s="5"/>
      <c r="M135" s="7">
        <f t="shared" si="7"/>
        <v>-873.0675673570715</v>
      </c>
      <c r="N135" s="15"/>
    </row>
    <row r="136" spans="3:14" ht="10.5">
      <c r="C136" s="4">
        <f>_XLL.NEXTDATESEQ(C135,PeriodsInt)</f>
        <v>41365</v>
      </c>
      <c r="D136" s="38"/>
      <c r="E136" s="11">
        <f>-_XLL.CON(C136,C137,DrawDate,RepDate,IntRate*SUM(K135),DayCount,PeriodsInt,1)</f>
        <v>-92.4540246900905</v>
      </c>
      <c r="F136" s="11">
        <f t="shared" si="6"/>
        <v>-780.6135426669811</v>
      </c>
      <c r="G136" s="15">
        <f>_XLL.LEVEL(C135,DrawDate,RepDate,RegPmt)+_XLL.LEVEL(C135,XDates,RepDate,XPmts)+_XLL.MKPMTS(C136,C137,XDates,XCap)</f>
        <v>-873.0675673570715</v>
      </c>
      <c r="H136" s="11"/>
      <c r="I136" s="12">
        <f t="shared" si="4"/>
        <v>-873.0675673570715</v>
      </c>
      <c r="J136" s="7"/>
      <c r="K136" s="15">
        <f t="shared" si="5"/>
        <v>17362.246141141102</v>
      </c>
      <c r="L136" s="5"/>
      <c r="M136" s="7">
        <f t="shared" si="7"/>
        <v>-873.0675673570715</v>
      </c>
      <c r="N136" s="15"/>
    </row>
    <row r="137" spans="3:14" ht="10.5">
      <c r="C137" s="4">
        <f>_XLL.NEXTDATESEQ(C136,PeriodsInt)</f>
        <v>41395</v>
      </c>
      <c r="D137" s="38"/>
      <c r="E137" s="11">
        <f>-_XLL.CON(C137,C138,DrawDate,RepDate,IntRate*SUM(K136),DayCount,PeriodsInt,1)</f>
        <v>-85.62203576453146</v>
      </c>
      <c r="F137" s="11">
        <f t="shared" si="6"/>
        <v>-787.4455315925401</v>
      </c>
      <c r="G137" s="15">
        <f>_XLL.LEVEL(C136,DrawDate,RepDate,RegPmt)+_XLL.LEVEL(C136,XDates,RepDate,XPmts)+_XLL.MKPMTS(C137,C138,XDates,XCap)</f>
        <v>-873.0675673570715</v>
      </c>
      <c r="H137" s="11"/>
      <c r="I137" s="12">
        <f t="shared" si="4"/>
        <v>-873.0675673570715</v>
      </c>
      <c r="J137" s="7"/>
      <c r="K137" s="15">
        <f t="shared" si="5"/>
        <v>16574.80060954856</v>
      </c>
      <c r="L137" s="5"/>
      <c r="M137" s="7">
        <f t="shared" si="7"/>
        <v>-873.0675673570715</v>
      </c>
      <c r="N137" s="15"/>
    </row>
    <row r="138" spans="3:14" ht="10.5">
      <c r="C138" s="4">
        <f>_XLL.NEXTDATESEQ(C137,PeriodsInt)</f>
        <v>41426</v>
      </c>
      <c r="D138" s="38"/>
      <c r="E138" s="11">
        <f>-_XLL.CON(C138,C139,DrawDate,RepDate,IntRate*SUM(K137),DayCount,PeriodsInt,1)</f>
        <v>-84.4633674897543</v>
      </c>
      <c r="F138" s="11">
        <f t="shared" si="6"/>
        <v>-788.6041998673172</v>
      </c>
      <c r="G138" s="15">
        <f>_XLL.LEVEL(C137,DrawDate,RepDate,RegPmt)+_XLL.LEVEL(C137,XDates,RepDate,XPmts)+_XLL.MKPMTS(C138,C139,XDates,XCap)</f>
        <v>-873.0675673570715</v>
      </c>
      <c r="H138" s="11"/>
      <c r="I138" s="12">
        <f t="shared" si="4"/>
        <v>-873.0675673570715</v>
      </c>
      <c r="J138" s="7"/>
      <c r="K138" s="15">
        <f t="shared" si="5"/>
        <v>15786.196409681244</v>
      </c>
      <c r="L138" s="5"/>
      <c r="M138" s="7">
        <f t="shared" si="7"/>
        <v>-873.0675673570715</v>
      </c>
      <c r="N138" s="15"/>
    </row>
    <row r="139" spans="3:14" ht="10.5">
      <c r="C139" s="4">
        <f>_XLL.NEXTDATESEQ(C138,PeriodsInt)</f>
        <v>41456</v>
      </c>
      <c r="D139" s="38"/>
      <c r="E139" s="11">
        <f>-_XLL.CON(C139,C140,DrawDate,RepDate,IntRate*SUM(K138),DayCount,PeriodsInt,1)</f>
        <v>-77.84973571897599</v>
      </c>
      <c r="F139" s="11">
        <f t="shared" si="6"/>
        <v>-795.2178316380955</v>
      </c>
      <c r="G139" s="15">
        <f>_XLL.LEVEL(C138,DrawDate,RepDate,RegPmt)+_XLL.LEVEL(C138,XDates,RepDate,XPmts)+_XLL.MKPMTS(C139,C140,XDates,XCap)</f>
        <v>-873.0675673570715</v>
      </c>
      <c r="H139" s="11"/>
      <c r="I139" s="12">
        <f t="shared" si="4"/>
        <v>-873.0675673570715</v>
      </c>
      <c r="J139" s="7"/>
      <c r="K139" s="15">
        <f t="shared" si="5"/>
        <v>14990.978578043148</v>
      </c>
      <c r="L139" s="5"/>
      <c r="M139" s="7">
        <f t="shared" si="7"/>
        <v>-873.0675673570715</v>
      </c>
      <c r="N139" s="15"/>
    </row>
    <row r="140" spans="3:14" ht="10.5">
      <c r="C140" s="4">
        <f>_XLL.NEXTDATESEQ(C139,PeriodsInt)</f>
        <v>41487</v>
      </c>
      <c r="D140" s="38"/>
      <c r="E140" s="11">
        <f>-_XLL.CON(C140,C141,DrawDate,RepDate,IntRate*SUM(K139),DayCount,PeriodsInt,1)</f>
        <v>-76.39238398674043</v>
      </c>
      <c r="F140" s="11">
        <f t="shared" si="6"/>
        <v>-796.6751833703311</v>
      </c>
      <c r="G140" s="15">
        <f>_XLL.LEVEL(C139,DrawDate,RepDate,RegPmt)+_XLL.LEVEL(C139,XDates,RepDate,XPmts)+_XLL.MKPMTS(C140,C141,XDates,XCap)</f>
        <v>-873.0675673570715</v>
      </c>
      <c r="H140" s="11"/>
      <c r="I140" s="12">
        <f t="shared" si="4"/>
        <v>-873.0675673570715</v>
      </c>
      <c r="J140" s="7"/>
      <c r="K140" s="15">
        <f t="shared" si="5"/>
        <v>14194.303394672817</v>
      </c>
      <c r="L140" s="5"/>
      <c r="M140" s="7">
        <f t="shared" si="7"/>
        <v>-873.0675673570715</v>
      </c>
      <c r="N140" s="15"/>
    </row>
    <row r="141" spans="3:14" ht="10.5">
      <c r="C141" s="4">
        <f>_XLL.NEXTDATESEQ(C140,PeriodsInt)</f>
        <v>41518</v>
      </c>
      <c r="D141" s="38"/>
      <c r="E141" s="11">
        <f>-_XLL.CON(C141,C142,DrawDate,RepDate,IntRate*SUM(K140),DayCount,PeriodsInt,1)</f>
        <v>-72.33261455915462</v>
      </c>
      <c r="F141" s="11">
        <f t="shared" si="6"/>
        <v>-800.7349527979169</v>
      </c>
      <c r="G141" s="15">
        <f>_XLL.LEVEL(C140,DrawDate,RepDate,RegPmt)+_XLL.LEVEL(C140,XDates,RepDate,XPmts)+_XLL.MKPMTS(C141,C142,XDates,XCap)</f>
        <v>-873.0675673570715</v>
      </c>
      <c r="H141" s="11"/>
      <c r="I141" s="12">
        <f t="shared" si="4"/>
        <v>-873.0675673570715</v>
      </c>
      <c r="J141" s="7"/>
      <c r="K141" s="15">
        <f t="shared" si="5"/>
        <v>13393.5684418749</v>
      </c>
      <c r="L141" s="5"/>
      <c r="M141" s="7">
        <f t="shared" si="7"/>
        <v>-873.0675673570715</v>
      </c>
      <c r="N141" s="15"/>
    </row>
    <row r="142" spans="3:14" ht="10.5">
      <c r="C142" s="4">
        <f>_XLL.NEXTDATESEQ(C141,PeriodsInt)</f>
        <v>41548</v>
      </c>
      <c r="D142" s="38"/>
      <c r="E142" s="11">
        <f>-_XLL.CON(C142,C143,DrawDate,RepDate,IntRate*SUM(K141),DayCount,PeriodsInt,1)</f>
        <v>-66.05047450787622</v>
      </c>
      <c r="F142" s="11">
        <f t="shared" si="6"/>
        <v>-807.0170928491954</v>
      </c>
      <c r="G142" s="15">
        <f>_XLL.LEVEL(C141,DrawDate,RepDate,RegPmt)+_XLL.LEVEL(C141,XDates,RepDate,XPmts)+_XLL.MKPMTS(C142,C143,XDates,XCap)</f>
        <v>-873.0675673570715</v>
      </c>
      <c r="H142" s="11"/>
      <c r="I142" s="12">
        <f t="shared" si="4"/>
        <v>-873.0675673570715</v>
      </c>
      <c r="J142" s="7"/>
      <c r="K142" s="15">
        <f t="shared" si="5"/>
        <v>12586.551349025705</v>
      </c>
      <c r="L142" s="5"/>
      <c r="M142" s="7">
        <f t="shared" si="7"/>
        <v>-873.0675673570715</v>
      </c>
      <c r="N142" s="15"/>
    </row>
    <row r="143" spans="3:14" ht="10.5">
      <c r="C143" s="4">
        <f>_XLL.NEXTDATESEQ(C142,PeriodsInt)</f>
        <v>41579</v>
      </c>
      <c r="D143" s="38"/>
      <c r="E143" s="11">
        <f>-_XLL.CON(C143,C144,DrawDate,RepDate,IntRate*SUM(K142),DayCount,PeriodsInt,1)</f>
        <v>-64.13968632654195</v>
      </c>
      <c r="F143" s="11">
        <f t="shared" si="6"/>
        <v>-808.9278810305295</v>
      </c>
      <c r="G143" s="15">
        <f>_XLL.LEVEL(C142,DrawDate,RepDate,RegPmt)+_XLL.LEVEL(C142,XDates,RepDate,XPmts)+_XLL.MKPMTS(C143,C144,XDates,XCap)</f>
        <v>-873.0675673570715</v>
      </c>
      <c r="H143" s="11"/>
      <c r="I143" s="12">
        <f t="shared" si="4"/>
        <v>-873.0675673570715</v>
      </c>
      <c r="J143" s="7"/>
      <c r="K143" s="15">
        <f t="shared" si="5"/>
        <v>11777.623467995176</v>
      </c>
      <c r="L143" s="5"/>
      <c r="M143" s="7">
        <f t="shared" si="7"/>
        <v>-873.0675673570715</v>
      </c>
      <c r="N143" s="15"/>
    </row>
    <row r="144" spans="3:14" ht="10.5">
      <c r="C144" s="4">
        <f>_XLL.NEXTDATESEQ(C143,PeriodsInt)</f>
        <v>41609</v>
      </c>
      <c r="D144" s="38"/>
      <c r="E144" s="11">
        <f>-_XLL.CON(C144,C145,DrawDate,RepDate,IntRate*SUM(K143),DayCount,PeriodsInt,1)</f>
        <v>-58.081430801072095</v>
      </c>
      <c r="F144" s="11">
        <f t="shared" si="6"/>
        <v>-814.9861365559995</v>
      </c>
      <c r="G144" s="15">
        <f>_XLL.LEVEL(C143,DrawDate,RepDate,RegPmt)+_XLL.LEVEL(C143,XDates,RepDate,XPmts)+_XLL.MKPMTS(C144,C145,XDates,XCap)</f>
        <v>-873.0675673570715</v>
      </c>
      <c r="H144" s="11"/>
      <c r="I144" s="12">
        <f t="shared" si="4"/>
        <v>-873.0675673570715</v>
      </c>
      <c r="J144" s="7"/>
      <c r="K144" s="15">
        <f t="shared" si="5"/>
        <v>10962.637331439177</v>
      </c>
      <c r="L144" s="5"/>
      <c r="M144" s="7">
        <f t="shared" si="7"/>
        <v>-873.0675673570715</v>
      </c>
      <c r="N144" s="15"/>
    </row>
    <row r="145" spans="3:14" ht="10.5">
      <c r="C145" s="4">
        <f>_XLL.NEXTDATESEQ(C144,PeriodsInt)</f>
        <v>41640</v>
      </c>
      <c r="D145" s="38"/>
      <c r="E145" s="11">
        <f>-_XLL.CON(C145,C146,DrawDate,RepDate,IntRate*SUM(K144),DayCount,PeriodsInt,1)</f>
        <v>-55.86439845610101</v>
      </c>
      <c r="F145" s="11">
        <f t="shared" si="6"/>
        <v>-817.2031689009706</v>
      </c>
      <c r="G145" s="15">
        <f>_XLL.LEVEL(C144,DrawDate,RepDate,RegPmt)+_XLL.LEVEL(C144,XDates,RepDate,XPmts)+_XLL.MKPMTS(C145,C146,XDates,XCap)</f>
        <v>-873.0675673570715</v>
      </c>
      <c r="H145" s="11"/>
      <c r="I145" s="12">
        <f t="shared" si="4"/>
        <v>-873.0675673570715</v>
      </c>
      <c r="J145" s="7"/>
      <c r="K145" s="15">
        <f t="shared" si="5"/>
        <v>10145.434162538206</v>
      </c>
      <c r="L145" s="5"/>
      <c r="M145" s="7">
        <f t="shared" si="7"/>
        <v>-873.0675673570715</v>
      </c>
      <c r="N145" s="15"/>
    </row>
    <row r="146" spans="3:14" ht="10.5">
      <c r="C146" s="4">
        <f>_XLL.NEXTDATESEQ(C145,PeriodsInt)</f>
        <v>41671</v>
      </c>
      <c r="D146" s="38"/>
      <c r="E146" s="11">
        <f>-_XLL.CON(C146,C147,DrawDate,RepDate,IntRate*SUM(K145),DayCount,PeriodsInt,1)</f>
        <v>-51.70002066389332</v>
      </c>
      <c r="F146" s="11">
        <f t="shared" si="6"/>
        <v>-821.3675466931783</v>
      </c>
      <c r="G146" s="15">
        <f>_XLL.LEVEL(C145,DrawDate,RepDate,RegPmt)+_XLL.LEVEL(C145,XDates,RepDate,XPmts)+_XLL.MKPMTS(C146,C147,XDates,XCap)</f>
        <v>-873.0675673570715</v>
      </c>
      <c r="H146" s="11"/>
      <c r="I146" s="12">
        <f t="shared" si="4"/>
        <v>-873.0675673570715</v>
      </c>
      <c r="J146" s="7"/>
      <c r="K146" s="15">
        <f t="shared" si="5"/>
        <v>9324.066615845028</v>
      </c>
      <c r="L146" s="5"/>
      <c r="M146" s="7">
        <f t="shared" si="7"/>
        <v>-873.0675673570715</v>
      </c>
      <c r="N146" s="15"/>
    </row>
    <row r="147" spans="3:14" ht="10.5">
      <c r="C147" s="4">
        <f>_XLL.NEXTDATESEQ(C146,PeriodsInt)</f>
        <v>41699</v>
      </c>
      <c r="D147" s="38"/>
      <c r="E147" s="11">
        <f>-_XLL.CON(C147,C148,DrawDate,RepDate,IntRate*SUM(K146),DayCount,PeriodsInt,1)</f>
        <v>-42.91625182087574</v>
      </c>
      <c r="F147" s="11">
        <f t="shared" si="6"/>
        <v>-830.1513155361959</v>
      </c>
      <c r="G147" s="15">
        <f>_XLL.LEVEL(C146,DrawDate,RepDate,RegPmt)+_XLL.LEVEL(C146,XDates,RepDate,XPmts)+_XLL.MKPMTS(C147,C148,XDates,XCap)</f>
        <v>-873.0675673570715</v>
      </c>
      <c r="H147" s="11"/>
      <c r="I147" s="12">
        <f t="shared" si="4"/>
        <v>-873.0675673570715</v>
      </c>
      <c r="J147" s="7"/>
      <c r="K147" s="15">
        <f t="shared" si="5"/>
        <v>8493.915300308832</v>
      </c>
      <c r="L147" s="5"/>
      <c r="M147" s="7">
        <f t="shared" si="7"/>
        <v>-873.0675673570715</v>
      </c>
      <c r="N147" s="15"/>
    </row>
    <row r="148" spans="3:14" ht="10.5">
      <c r="C148" s="4">
        <f>_XLL.NEXTDATESEQ(C147,PeriodsInt)</f>
        <v>41730</v>
      </c>
      <c r="D148" s="38"/>
      <c r="E148" s="11">
        <f>-_XLL.CON(C148,C149,DrawDate,RepDate,IntRate*SUM(K147),DayCount,PeriodsInt,1)</f>
        <v>-43.28406153034089</v>
      </c>
      <c r="F148" s="11">
        <f t="shared" si="6"/>
        <v>-829.7835058267307</v>
      </c>
      <c r="G148" s="15">
        <f>_XLL.LEVEL(C147,DrawDate,RepDate,RegPmt)+_XLL.LEVEL(C147,XDates,RepDate,XPmts)+_XLL.MKPMTS(C148,C149,XDates,XCap)</f>
        <v>-873.0675673570715</v>
      </c>
      <c r="H148" s="11"/>
      <c r="I148" s="12">
        <f t="shared" si="4"/>
        <v>-873.0675673570715</v>
      </c>
      <c r="J148" s="7"/>
      <c r="K148" s="15">
        <f t="shared" si="5"/>
        <v>7664.131794482101</v>
      </c>
      <c r="L148" s="5"/>
      <c r="M148" s="7">
        <f t="shared" si="7"/>
        <v>-873.0675673570715</v>
      </c>
      <c r="N148" s="15"/>
    </row>
    <row r="149" spans="3:14" ht="10.5">
      <c r="C149" s="4">
        <f>_XLL.NEXTDATESEQ(C148,PeriodsInt)</f>
        <v>41760</v>
      </c>
      <c r="D149" s="38"/>
      <c r="E149" s="11">
        <f>-_XLL.CON(C149,C150,DrawDate,RepDate,IntRate*SUM(K148),DayCount,PeriodsInt,1)</f>
        <v>-37.79571843854186</v>
      </c>
      <c r="F149" s="11">
        <f t="shared" si="6"/>
        <v>-835.2718489185297</v>
      </c>
      <c r="G149" s="15">
        <f>_XLL.LEVEL(C148,DrawDate,RepDate,RegPmt)+_XLL.LEVEL(C148,XDates,RepDate,XPmts)+_XLL.MKPMTS(C149,C150,XDates,XCap)</f>
        <v>-873.0675673570715</v>
      </c>
      <c r="H149" s="11"/>
      <c r="I149" s="12">
        <f t="shared" si="4"/>
        <v>-873.0675673570715</v>
      </c>
      <c r="J149" s="7"/>
      <c r="K149" s="15">
        <f t="shared" si="5"/>
        <v>6828.859945563571</v>
      </c>
      <c r="L149" s="5"/>
      <c r="M149" s="7">
        <f t="shared" si="7"/>
        <v>-873.0675673570715</v>
      </c>
      <c r="N149" s="15"/>
    </row>
    <row r="150" spans="3:14" ht="10.5">
      <c r="C150" s="4">
        <f>_XLL.NEXTDATESEQ(C149,PeriodsInt)</f>
        <v>41791</v>
      </c>
      <c r="D150" s="38"/>
      <c r="E150" s="11">
        <f>-_XLL.CON(C150,C151,DrawDate,RepDate,IntRate*SUM(K149),DayCount,PeriodsInt,1)</f>
        <v>-34.799121914378745</v>
      </c>
      <c r="F150" s="11">
        <f t="shared" si="6"/>
        <v>-838.2684454426928</v>
      </c>
      <c r="G150" s="15">
        <f>_XLL.LEVEL(C149,DrawDate,RepDate,RegPmt)+_XLL.LEVEL(C149,XDates,RepDate,XPmts)+_XLL.MKPMTS(C150,C151,XDates,XCap)</f>
        <v>-873.0675673570715</v>
      </c>
      <c r="H150" s="11"/>
      <c r="I150" s="12">
        <f t="shared" si="4"/>
        <v>-873.0675673570715</v>
      </c>
      <c r="J150" s="7"/>
      <c r="K150" s="15">
        <f t="shared" si="5"/>
        <v>5990.591500120879</v>
      </c>
      <c r="L150" s="5"/>
      <c r="M150" s="7">
        <f t="shared" si="7"/>
        <v>-873.0675673570715</v>
      </c>
      <c r="N150" s="15"/>
    </row>
    <row r="151" spans="3:14" ht="10.5">
      <c r="C151" s="4">
        <f>_XLL.NEXTDATESEQ(C150,PeriodsInt)</f>
        <v>41821</v>
      </c>
      <c r="D151" s="38"/>
      <c r="E151" s="11">
        <f>-_XLL.CON(C151,C152,DrawDate,RepDate,IntRate*SUM(K150),DayCount,PeriodsInt,1)</f>
        <v>-29.542643014294743</v>
      </c>
      <c r="F151" s="11">
        <f t="shared" si="6"/>
        <v>-843.5249243427768</v>
      </c>
      <c r="G151" s="15">
        <f>_XLL.LEVEL(C150,DrawDate,RepDate,RegPmt)+_XLL.LEVEL(C150,XDates,RepDate,XPmts)+_XLL.MKPMTS(C151,C152,XDates,XCap)</f>
        <v>-873.0675673570715</v>
      </c>
      <c r="H151" s="11"/>
      <c r="I151" s="12">
        <f t="shared" si="4"/>
        <v>-873.0675673570715</v>
      </c>
      <c r="J151" s="7"/>
      <c r="K151" s="15">
        <f t="shared" si="5"/>
        <v>5147.066575778102</v>
      </c>
      <c r="L151" s="5"/>
      <c r="M151" s="7">
        <f t="shared" si="7"/>
        <v>-873.0675673570715</v>
      </c>
      <c r="N151" s="15"/>
    </row>
    <row r="152" spans="3:14" ht="10.5">
      <c r="C152" s="4">
        <f>_XLL.NEXTDATESEQ(C151,PeriodsInt)</f>
        <v>41852</v>
      </c>
      <c r="D152" s="38"/>
      <c r="E152" s="11">
        <f>-_XLL.CON(C152,C153,DrawDate,RepDate,IntRate*SUM(K151),DayCount,PeriodsInt,1)</f>
        <v>-26.22888720807471</v>
      </c>
      <c r="F152" s="11">
        <f t="shared" si="6"/>
        <v>-846.8386801489968</v>
      </c>
      <c r="G152" s="15">
        <f>_XLL.LEVEL(C151,DrawDate,RepDate,RegPmt)+_XLL.LEVEL(C151,XDates,RepDate,XPmts)+_XLL.MKPMTS(C152,C153,XDates,XCap)</f>
        <v>-873.0675673570715</v>
      </c>
      <c r="H152" s="11"/>
      <c r="I152" s="12">
        <f t="shared" si="4"/>
        <v>-873.0675673570715</v>
      </c>
      <c r="J152" s="7"/>
      <c r="K152" s="15">
        <f t="shared" si="5"/>
        <v>4300.227895629105</v>
      </c>
      <c r="L152" s="5"/>
      <c r="M152" s="7">
        <f t="shared" si="7"/>
        <v>-873.0675673570715</v>
      </c>
      <c r="N152" s="15"/>
    </row>
    <row r="153" spans="3:14" ht="10.5">
      <c r="C153" s="4">
        <f>_XLL.NEXTDATESEQ(C152,PeriodsInt)</f>
        <v>41883</v>
      </c>
      <c r="D153" s="38"/>
      <c r="E153" s="11">
        <f>-_XLL.CON(C153,C154,DrawDate,RepDate,IntRate*SUM(K152),DayCount,PeriodsInt,1)</f>
        <v>-21.91349009827434</v>
      </c>
      <c r="F153" s="11">
        <f t="shared" si="6"/>
        <v>-851.1540772587972</v>
      </c>
      <c r="G153" s="15">
        <f>_XLL.LEVEL(C152,DrawDate,RepDate,RegPmt)+_XLL.LEVEL(C152,XDates,RepDate,XPmts)+_XLL.MKPMTS(C153,C154,XDates,XCap)</f>
        <v>-873.0675673570715</v>
      </c>
      <c r="H153" s="11"/>
      <c r="I153" s="12">
        <f t="shared" si="4"/>
        <v>-873.0675673570715</v>
      </c>
      <c r="J153" s="7"/>
      <c r="K153" s="15">
        <f t="shared" si="5"/>
        <v>3449.0738183703074</v>
      </c>
      <c r="L153" s="5"/>
      <c r="M153" s="7">
        <f t="shared" si="7"/>
        <v>-873.0675673570715</v>
      </c>
      <c r="N153" s="15"/>
    </row>
    <row r="154" spans="3:14" ht="10.5">
      <c r="C154" s="4">
        <f>_XLL.NEXTDATESEQ(C153,PeriodsInt)</f>
        <v>41913</v>
      </c>
      <c r="D154" s="38"/>
      <c r="E154" s="11">
        <f>-_XLL.CON(C154,C155,DrawDate,RepDate,IntRate*SUM(K153),DayCount,PeriodsInt,1)</f>
        <v>-17.009131159086447</v>
      </c>
      <c r="F154" s="11">
        <f t="shared" si="6"/>
        <v>-856.0584361979851</v>
      </c>
      <c r="G154" s="15">
        <f>_XLL.LEVEL(C153,DrawDate,RepDate,RegPmt)+_XLL.LEVEL(C153,XDates,RepDate,XPmts)+_XLL.MKPMTS(C154,C155,XDates,XCap)</f>
        <v>-873.0675673570715</v>
      </c>
      <c r="H154" s="11"/>
      <c r="I154" s="12">
        <f t="shared" si="4"/>
        <v>-873.0675673570715</v>
      </c>
      <c r="J154" s="7"/>
      <c r="K154" s="15">
        <f t="shared" si="5"/>
        <v>2593.0153821723225</v>
      </c>
      <c r="L154" s="5"/>
      <c r="M154" s="7">
        <f t="shared" si="7"/>
        <v>-873.0675673570715</v>
      </c>
      <c r="N154" s="15"/>
    </row>
    <row r="155" spans="3:14" ht="10.5">
      <c r="C155" s="4">
        <f>_XLL.NEXTDATESEQ(C154,PeriodsInt)</f>
        <v>41944</v>
      </c>
      <c r="D155" s="38"/>
      <c r="E155" s="11">
        <f>-_XLL.CON(C155,C156,DrawDate,RepDate,IntRate*SUM(K154),DayCount,PeriodsInt,1)</f>
        <v>-13.213722221480875</v>
      </c>
      <c r="F155" s="11">
        <f t="shared" si="6"/>
        <v>-859.8538451355906</v>
      </c>
      <c r="G155" s="15">
        <f>_XLL.LEVEL(C154,DrawDate,RepDate,RegPmt)+_XLL.LEVEL(C154,XDates,RepDate,XPmts)+_XLL.MKPMTS(C155,C156,XDates,XCap)</f>
        <v>-873.0675673570715</v>
      </c>
      <c r="H155" s="11"/>
      <c r="I155" s="12">
        <f t="shared" si="4"/>
        <v>-873.0675673570715</v>
      </c>
      <c r="J155" s="7"/>
      <c r="K155" s="15">
        <f t="shared" si="5"/>
        <v>1733.1615370367317</v>
      </c>
      <c r="L155" s="5"/>
      <c r="M155" s="7">
        <f t="shared" si="7"/>
        <v>-873.0675673570715</v>
      </c>
      <c r="N155" s="15"/>
    </row>
    <row r="156" spans="3:14" ht="10.5">
      <c r="C156" s="4">
        <f>_XLL.NEXTDATESEQ(C155,PeriodsInt)</f>
        <v>41974</v>
      </c>
      <c r="D156" s="38"/>
      <c r="E156" s="11">
        <f>-_XLL.CON(C156,C157,DrawDate,RepDate,IntRate*SUM(K155),DayCount,PeriodsInt,1)</f>
        <v>-8.547097990866073</v>
      </c>
      <c r="F156" s="11">
        <f t="shared" si="6"/>
        <v>-864.5204693662055</v>
      </c>
      <c r="G156" s="15">
        <f>_XLL.LEVEL(C155,DrawDate,RepDate,RegPmt)+_XLL.LEVEL(C155,XDates,RepDate,XPmts)+_XLL.MKPMTS(C156,C157,XDates,XCap)</f>
        <v>-873.0675673570715</v>
      </c>
      <c r="H156" s="11"/>
      <c r="I156" s="12">
        <f t="shared" si="4"/>
        <v>-873.0675673570715</v>
      </c>
      <c r="J156" s="7"/>
      <c r="K156" s="15">
        <f t="shared" si="5"/>
        <v>868.6410676705262</v>
      </c>
      <c r="L156" s="5"/>
      <c r="M156" s="7">
        <f t="shared" si="7"/>
        <v>-873.0675673570715</v>
      </c>
      <c r="N156" s="15"/>
    </row>
    <row r="157" spans="3:14" ht="10.5">
      <c r="C157" s="4">
        <f>_XLL.NEXTDATESEQ(C156,PeriodsInt)</f>
        <v>42005</v>
      </c>
      <c r="D157" s="38"/>
      <c r="E157" s="11">
        <f>-_XLL.CON(C157,C158,DrawDate,RepDate,IntRate*SUM(K156),DayCount,PeriodsInt,1)</f>
        <v>-4.426499687307339</v>
      </c>
      <c r="F157" s="11">
        <f t="shared" si="6"/>
        <v>-868.6410676697642</v>
      </c>
      <c r="G157" s="15">
        <f>_XLL.LEVEL(C156,DrawDate,RepDate,RegPmt)+_XLL.LEVEL(C156,XDates,RepDate,XPmts)+_XLL.MKPMTS(C157,C158,XDates,XCap)</f>
        <v>-873.0675673570715</v>
      </c>
      <c r="H157" s="11"/>
      <c r="I157" s="12">
        <f t="shared" si="4"/>
        <v>-873.0675673570715</v>
      </c>
      <c r="J157" s="7"/>
      <c r="K157" s="15">
        <f t="shared" si="5"/>
        <v>7.620428732479922E-10</v>
      </c>
      <c r="L157" s="5"/>
      <c r="M157" s="7">
        <f t="shared" si="7"/>
        <v>-873.0675673570715</v>
      </c>
      <c r="N157" s="15"/>
    </row>
    <row r="158" spans="3:14" ht="10.5">
      <c r="C158" s="4">
        <f>_XLL.NEXTDATESEQ(C157,PeriodsInt)</f>
        <v>42036</v>
      </c>
      <c r="D158" s="38"/>
      <c r="E158" s="11">
        <f>-_XLL.CON(C158,C159,DrawDate,RepDate,IntRate*SUM(K157),DayCount,PeriodsInt,1)</f>
        <v>0</v>
      </c>
      <c r="F158" s="11">
        <f t="shared" si="6"/>
        <v>0</v>
      </c>
      <c r="G158" s="15">
        <f>_XLL.LEVEL(C157,DrawDate,RepDate,RegPmt)+_XLL.LEVEL(C157,XDates,RepDate,XPmts)+_XLL.MKPMTS(C158,C159,XDates,XCap)</f>
        <v>0</v>
      </c>
      <c r="H158" s="11"/>
      <c r="I158" s="12">
        <f t="shared" si="4"/>
        <v>0</v>
      </c>
      <c r="J158" s="7"/>
      <c r="K158" s="15">
        <f t="shared" si="5"/>
        <v>7.620428732479922E-10</v>
      </c>
      <c r="L158" s="5"/>
      <c r="M158" s="7">
        <f t="shared" si="7"/>
        <v>0</v>
      </c>
      <c r="N158" s="15"/>
    </row>
    <row r="159" spans="3:14" ht="10.5">
      <c r="C159" s="4">
        <f>_XLL.NEXTDATESEQ(C158,PeriodsInt)</f>
        <v>42064</v>
      </c>
      <c r="D159" s="38"/>
      <c r="E159" s="11">
        <f>-_XLL.CON(C159,C160,DrawDate,RepDate,IntRate*SUM(K158),DayCount,PeriodsInt,1)</f>
        <v>0</v>
      </c>
      <c r="F159" s="11">
        <f t="shared" si="6"/>
        <v>0</v>
      </c>
      <c r="G159" s="15">
        <f>_XLL.LEVEL(C158,DrawDate,RepDate,RegPmt)+_XLL.LEVEL(C158,XDates,RepDate,XPmts)+_XLL.MKPMTS(C159,C160,XDates,XCap)</f>
        <v>0</v>
      </c>
      <c r="H159" s="11"/>
      <c r="I159" s="12">
        <f t="shared" si="4"/>
        <v>0</v>
      </c>
      <c r="J159" s="7"/>
      <c r="K159" s="15">
        <f t="shared" si="5"/>
        <v>7.620428732479922E-10</v>
      </c>
      <c r="L159" s="5"/>
      <c r="M159" s="7">
        <f t="shared" si="7"/>
        <v>0</v>
      </c>
      <c r="N159" s="15"/>
    </row>
    <row r="160" spans="3:14" ht="10.5">
      <c r="C160" s="4">
        <f>_XLL.NEXTDATESEQ(C159,PeriodsInt)</f>
        <v>42095</v>
      </c>
      <c r="D160" s="38"/>
      <c r="E160" s="11">
        <f>-_XLL.CON(C160,C161,DrawDate,RepDate,IntRate*SUM(K159),DayCount,PeriodsInt,1)</f>
        <v>0</v>
      </c>
      <c r="F160" s="11">
        <f t="shared" si="6"/>
        <v>0</v>
      </c>
      <c r="G160" s="15">
        <f>_XLL.LEVEL(C159,DrawDate,RepDate,RegPmt)+_XLL.LEVEL(C159,XDates,RepDate,XPmts)+_XLL.MKPMTS(C160,C161,XDates,XCap)</f>
        <v>0</v>
      </c>
      <c r="H160" s="11"/>
      <c r="I160" s="12">
        <f t="shared" si="4"/>
        <v>0</v>
      </c>
      <c r="J160" s="7"/>
      <c r="K160" s="15">
        <f t="shared" si="5"/>
        <v>7.620428732479922E-10</v>
      </c>
      <c r="L160" s="5"/>
      <c r="M160" s="7">
        <f t="shared" si="7"/>
        <v>0</v>
      </c>
      <c r="N160" s="15"/>
    </row>
    <row r="161" spans="3:14" ht="10.5">
      <c r="C161" s="4">
        <f>_XLL.NEXTDATESEQ(C160,PeriodsInt)</f>
        <v>42125</v>
      </c>
      <c r="D161" s="38"/>
      <c r="E161" s="11">
        <f>-_XLL.CON(C161,C162,DrawDate,RepDate,IntRate*SUM(K160),DayCount,PeriodsInt,1)</f>
        <v>0</v>
      </c>
      <c r="F161" s="11">
        <f t="shared" si="6"/>
        <v>0</v>
      </c>
      <c r="G161" s="15">
        <f>_XLL.LEVEL(C160,DrawDate,RepDate,RegPmt)+_XLL.LEVEL(C160,XDates,RepDate,XPmts)+_XLL.MKPMTS(C161,C162,XDates,XCap)</f>
        <v>0</v>
      </c>
      <c r="H161" s="11"/>
      <c r="I161" s="12">
        <f t="shared" si="4"/>
        <v>0</v>
      </c>
      <c r="J161" s="7"/>
      <c r="K161" s="15">
        <f t="shared" si="5"/>
        <v>7.620428732479922E-10</v>
      </c>
      <c r="L161" s="5"/>
      <c r="M161" s="7">
        <f t="shared" si="7"/>
        <v>0</v>
      </c>
      <c r="N161" s="15"/>
    </row>
    <row r="162" spans="3:14" ht="10.5">
      <c r="C162" s="4">
        <f>_XLL.NEXTDATESEQ(C161,PeriodsInt)</f>
        <v>42156</v>
      </c>
      <c r="D162" s="38"/>
      <c r="E162" s="11">
        <f>-_XLL.CON(C162,C163,DrawDate,RepDate,IntRate*SUM(K161),DayCount,PeriodsInt,1)</f>
        <v>0</v>
      </c>
      <c r="F162" s="11">
        <f t="shared" si="6"/>
        <v>0</v>
      </c>
      <c r="G162" s="15">
        <f>_XLL.LEVEL(C161,DrawDate,RepDate,RegPmt)+_XLL.LEVEL(C161,XDates,RepDate,XPmts)+_XLL.MKPMTS(C162,C163,XDates,XCap)</f>
        <v>0</v>
      </c>
      <c r="H162" s="11"/>
      <c r="I162" s="12">
        <f t="shared" si="4"/>
        <v>0</v>
      </c>
      <c r="J162" s="7"/>
      <c r="K162" s="15">
        <f t="shared" si="5"/>
        <v>7.620428732479922E-10</v>
      </c>
      <c r="L162" s="5"/>
      <c r="M162" s="7">
        <f t="shared" si="7"/>
        <v>0</v>
      </c>
      <c r="N162" s="15"/>
    </row>
    <row r="163" spans="3:14" ht="10.5">
      <c r="C163" s="4">
        <f>_XLL.NEXTDATESEQ(C162,PeriodsInt)</f>
        <v>42186</v>
      </c>
      <c r="D163" s="38"/>
      <c r="E163" s="11">
        <f>-_XLL.CON(C163,C164,DrawDate,RepDate,IntRate*SUM(K162),DayCount,PeriodsInt,1)</f>
        <v>0</v>
      </c>
      <c r="F163" s="11">
        <f t="shared" si="6"/>
        <v>0</v>
      </c>
      <c r="G163" s="15">
        <f>_XLL.LEVEL(C162,DrawDate,RepDate,RegPmt)+_XLL.LEVEL(C162,XDates,RepDate,XPmts)+_XLL.MKPMTS(C163,C164,XDates,XCap)</f>
        <v>0</v>
      </c>
      <c r="H163" s="11"/>
      <c r="I163" s="12">
        <f t="shared" si="4"/>
        <v>0</v>
      </c>
      <c r="J163" s="7"/>
      <c r="K163" s="15">
        <f t="shared" si="5"/>
        <v>7.620428732479922E-10</v>
      </c>
      <c r="L163" s="5"/>
      <c r="M163" s="7">
        <f t="shared" si="7"/>
        <v>0</v>
      </c>
      <c r="N163" s="15"/>
    </row>
    <row r="164" spans="3:14" ht="10.5">
      <c r="C164" s="4">
        <f>_XLL.NEXTDATESEQ(C163,PeriodsInt)</f>
        <v>42217</v>
      </c>
      <c r="D164" s="38"/>
      <c r="E164" s="11">
        <f>-_XLL.CON(C164,C165,DrawDate,RepDate,IntRate*SUM(K163),DayCount,PeriodsInt,1)</f>
        <v>0</v>
      </c>
      <c r="F164" s="11">
        <f t="shared" si="6"/>
        <v>0</v>
      </c>
      <c r="G164" s="15">
        <f>_XLL.LEVEL(C163,DrawDate,RepDate,RegPmt)+_XLL.LEVEL(C163,XDates,RepDate,XPmts)+_XLL.MKPMTS(C164,C165,XDates,XCap)</f>
        <v>0</v>
      </c>
      <c r="H164" s="11"/>
      <c r="I164" s="12">
        <f t="shared" si="4"/>
        <v>0</v>
      </c>
      <c r="J164" s="7"/>
      <c r="K164" s="15">
        <f t="shared" si="5"/>
        <v>7.620428732479922E-10</v>
      </c>
      <c r="L164" s="5"/>
      <c r="M164" s="7">
        <f t="shared" si="7"/>
        <v>0</v>
      </c>
      <c r="N164" s="15"/>
    </row>
    <row r="165" spans="3:14" ht="10.5">
      <c r="C165" s="4">
        <f>_XLL.NEXTDATESEQ(C164,PeriodsInt)</f>
        <v>42248</v>
      </c>
      <c r="K165" s="5"/>
      <c r="L165" s="5"/>
      <c r="M165" s="7">
        <f t="shared" si="7"/>
        <v>0</v>
      </c>
      <c r="N165" s="15"/>
    </row>
    <row r="166" spans="5:13" ht="10.5">
      <c r="E166" s="5"/>
      <c r="F166" s="5"/>
      <c r="H166" s="5"/>
      <c r="I166" s="5"/>
      <c r="J166" s="5"/>
      <c r="K166" s="5"/>
      <c r="M166" s="5"/>
    </row>
    <row r="167" spans="5:13" ht="10.5">
      <c r="E167" s="5"/>
      <c r="F167" s="5"/>
      <c r="H167" s="5"/>
      <c r="I167" s="5"/>
      <c r="J167" s="5"/>
      <c r="K167" s="5"/>
      <c r="M167" s="5"/>
    </row>
    <row r="168" spans="5:13" ht="10.5">
      <c r="E168" s="5"/>
      <c r="F168" s="5"/>
      <c r="H168" s="5"/>
      <c r="I168" s="5"/>
      <c r="J168" s="5"/>
      <c r="K168" s="5"/>
      <c r="M168" s="5"/>
    </row>
    <row r="169" spans="5:13" ht="10.5">
      <c r="E169" s="5"/>
      <c r="F169" s="5"/>
      <c r="H169" s="5"/>
      <c r="I169" s="5"/>
      <c r="J169" s="5"/>
      <c r="K169" s="5"/>
      <c r="M169" s="5"/>
    </row>
    <row r="170" spans="5:13" ht="10.5">
      <c r="E170" s="5"/>
      <c r="F170" s="5"/>
      <c r="H170" s="5"/>
      <c r="I170" s="5"/>
      <c r="J170" s="5"/>
      <c r="K170" s="5"/>
      <c r="M170" s="5"/>
    </row>
    <row r="171" spans="5:13" ht="10.5">
      <c r="E171" s="5"/>
      <c r="F171" s="5"/>
      <c r="H171" s="5"/>
      <c r="I171" s="5"/>
      <c r="J171" s="5"/>
      <c r="K171" s="5"/>
      <c r="M171" s="5"/>
    </row>
    <row r="172" spans="5:13" ht="10.5">
      <c r="E172" s="5"/>
      <c r="F172" s="5"/>
      <c r="H172" s="5"/>
      <c r="I172" s="5"/>
      <c r="J172" s="5"/>
      <c r="K172" s="5"/>
      <c r="M172" s="5"/>
    </row>
    <row r="173" spans="5:13" ht="10.5">
      <c r="E173" s="5"/>
      <c r="F173" s="5"/>
      <c r="H173" s="5"/>
      <c r="I173" s="5"/>
      <c r="J173" s="5"/>
      <c r="K173" s="5"/>
      <c r="M173" s="5"/>
    </row>
    <row r="174" spans="5:13" ht="10.5">
      <c r="E174" s="5"/>
      <c r="F174" s="5"/>
      <c r="H174" s="5"/>
      <c r="I174" s="5"/>
      <c r="J174" s="5"/>
      <c r="K174" s="5"/>
      <c r="M174" s="5"/>
    </row>
    <row r="175" spans="5:13" ht="10.5">
      <c r="E175" s="5"/>
      <c r="F175" s="5"/>
      <c r="H175" s="5"/>
      <c r="I175" s="5"/>
      <c r="J175" s="5"/>
      <c r="K175" s="5"/>
      <c r="M175" s="5"/>
    </row>
    <row r="176" spans="5:13" ht="10.5">
      <c r="E176" s="5"/>
      <c r="F176" s="5"/>
      <c r="H176" s="5"/>
      <c r="I176" s="5"/>
      <c r="J176" s="5"/>
      <c r="K176" s="5"/>
      <c r="M176" s="5"/>
    </row>
    <row r="177" spans="5:13" ht="10.5">
      <c r="E177" s="5"/>
      <c r="F177" s="5"/>
      <c r="H177" s="5"/>
      <c r="I177" s="5"/>
      <c r="J177" s="5"/>
      <c r="K177" s="5"/>
      <c r="M177" s="5"/>
    </row>
    <row r="178" spans="5:13" ht="10.5">
      <c r="E178" s="5"/>
      <c r="F178" s="5"/>
      <c r="H178" s="5"/>
      <c r="I178" s="5"/>
      <c r="J178" s="5"/>
      <c r="K178" s="5"/>
      <c r="M178" s="5"/>
    </row>
    <row r="179" spans="5:13" ht="10.5">
      <c r="E179" s="5"/>
      <c r="F179" s="5"/>
      <c r="H179" s="5"/>
      <c r="I179" s="5"/>
      <c r="J179" s="5"/>
      <c r="K179" s="5"/>
      <c r="M179" s="5"/>
    </row>
    <row r="180" spans="5:13" ht="10.5">
      <c r="E180" s="5"/>
      <c r="F180" s="5"/>
      <c r="H180" s="5"/>
      <c r="I180" s="5"/>
      <c r="J180" s="5"/>
      <c r="K180" s="5"/>
      <c r="M180" s="5"/>
    </row>
    <row r="181" spans="5:13" ht="10.5">
      <c r="E181" s="5"/>
      <c r="F181" s="5"/>
      <c r="H181" s="5"/>
      <c r="I181" s="5"/>
      <c r="J181" s="5"/>
      <c r="K181" s="5"/>
      <c r="M181" s="5"/>
    </row>
    <row r="182" spans="5:13" ht="10.5">
      <c r="E182" s="5"/>
      <c r="F182" s="5"/>
      <c r="H182" s="5"/>
      <c r="I182" s="5"/>
      <c r="J182" s="5"/>
      <c r="K182" s="5"/>
      <c r="M182" s="5"/>
    </row>
    <row r="183" spans="5:13" ht="10.5">
      <c r="E183" s="5"/>
      <c r="F183" s="5"/>
      <c r="H183" s="5"/>
      <c r="I183" s="5"/>
      <c r="J183" s="5"/>
      <c r="K183" s="5"/>
      <c r="M183" s="5"/>
    </row>
    <row r="184" spans="5:13" ht="10.5">
      <c r="E184" s="5"/>
      <c r="F184" s="5"/>
      <c r="H184" s="5"/>
      <c r="I184" s="5"/>
      <c r="J184" s="5"/>
      <c r="K184" s="5"/>
      <c r="M184" s="5"/>
    </row>
    <row r="185" spans="5:13" ht="10.5">
      <c r="E185" s="5"/>
      <c r="F185" s="5"/>
      <c r="H185" s="5"/>
      <c r="I185" s="5"/>
      <c r="J185" s="5"/>
      <c r="K185" s="5"/>
      <c r="M185" s="5"/>
    </row>
    <row r="186" spans="5:13" ht="10.5">
      <c r="E186" s="5"/>
      <c r="F186" s="5"/>
      <c r="H186" s="5"/>
      <c r="I186" s="5"/>
      <c r="J186" s="5"/>
      <c r="K186" s="5"/>
      <c r="M186" s="5"/>
    </row>
    <row r="187" spans="5:13" ht="10.5">
      <c r="E187" s="5"/>
      <c r="F187" s="5"/>
      <c r="H187" s="5"/>
      <c r="I187" s="5"/>
      <c r="J187" s="5"/>
      <c r="K187" s="5"/>
      <c r="M187" s="5"/>
    </row>
    <row r="188" spans="5:13" ht="10.5">
      <c r="E188" s="5"/>
      <c r="F188" s="5"/>
      <c r="H188" s="5"/>
      <c r="I188" s="5"/>
      <c r="J188" s="5"/>
      <c r="K188" s="5"/>
      <c r="M188" s="5"/>
    </row>
    <row r="189" spans="5:13" ht="10.5">
      <c r="E189" s="5"/>
      <c r="F189" s="5"/>
      <c r="H189" s="5"/>
      <c r="I189" s="5"/>
      <c r="J189" s="5"/>
      <c r="K189" s="5"/>
      <c r="M189" s="5"/>
    </row>
    <row r="190" spans="5:13" ht="10.5">
      <c r="E190" s="5"/>
      <c r="F190" s="5"/>
      <c r="H190" s="5"/>
      <c r="I190" s="5"/>
      <c r="J190" s="5"/>
      <c r="K190" s="5"/>
      <c r="M190" s="5"/>
    </row>
    <row r="191" spans="5:13" ht="10.5">
      <c r="E191" s="5"/>
      <c r="F191" s="5"/>
      <c r="H191" s="5"/>
      <c r="I191" s="5"/>
      <c r="J191" s="5"/>
      <c r="K191" s="5"/>
      <c r="M191" s="5"/>
    </row>
    <row r="192" spans="5:13" ht="10.5">
      <c r="E192" s="5"/>
      <c r="F192" s="5"/>
      <c r="H192" s="5"/>
      <c r="I192" s="5"/>
      <c r="J192" s="5"/>
      <c r="K192" s="5"/>
      <c r="M192" s="5"/>
    </row>
    <row r="193" spans="5:13" ht="10.5">
      <c r="E193" s="5"/>
      <c r="F193" s="5"/>
      <c r="H193" s="5"/>
      <c r="I193" s="5"/>
      <c r="J193" s="5"/>
      <c r="K193" s="5"/>
      <c r="M193" s="5"/>
    </row>
    <row r="194" spans="5:13" ht="10.5">
      <c r="E194" s="5"/>
      <c r="F194" s="5"/>
      <c r="H194" s="5"/>
      <c r="I194" s="5"/>
      <c r="J194" s="5"/>
      <c r="K194" s="5"/>
      <c r="M194" s="5"/>
    </row>
    <row r="195" spans="5:13" ht="10.5">
      <c r="E195" s="5"/>
      <c r="F195" s="5"/>
      <c r="H195" s="5"/>
      <c r="I195" s="5"/>
      <c r="J195" s="5"/>
      <c r="K195" s="5"/>
      <c r="M195" s="5"/>
    </row>
    <row r="196" spans="5:11" ht="10.5">
      <c r="E196" s="5"/>
      <c r="F196" s="5"/>
      <c r="G196" s="5"/>
      <c r="H196" s="5"/>
      <c r="I196" s="5"/>
      <c r="J196" s="5"/>
      <c r="K196" s="5"/>
    </row>
    <row r="197" spans="5:11" ht="10.5">
      <c r="E197" s="5"/>
      <c r="F197" s="5"/>
      <c r="G197" s="5"/>
      <c r="H197" s="5"/>
      <c r="I197" s="5"/>
      <c r="J197" s="5"/>
      <c r="K197" s="5"/>
    </row>
    <row r="198" spans="5:11" ht="10.5">
      <c r="E198" s="5"/>
      <c r="F198" s="5"/>
      <c r="G198" s="5"/>
      <c r="H198" s="5"/>
      <c r="I198" s="5"/>
      <c r="J198" s="5"/>
      <c r="K198" s="5"/>
    </row>
    <row r="199" spans="5:11" ht="10.5">
      <c r="E199" s="5"/>
      <c r="F199" s="5"/>
      <c r="G199" s="5"/>
      <c r="H199" s="5"/>
      <c r="I199" s="5"/>
      <c r="J199" s="5"/>
      <c r="K199" s="5"/>
    </row>
    <row r="200" spans="5:11" ht="10.5">
      <c r="E200" s="5"/>
      <c r="F200" s="5"/>
      <c r="G200" s="5"/>
      <c r="H200" s="5"/>
      <c r="I200" s="5"/>
      <c r="J200" s="5"/>
      <c r="K200" s="5"/>
    </row>
    <row r="201" spans="5:11" ht="10.5">
      <c r="E201" s="5"/>
      <c r="F201" s="5"/>
      <c r="G201" s="5"/>
      <c r="H201" s="5"/>
      <c r="I201" s="5"/>
      <c r="J201" s="5"/>
      <c r="K201" s="5"/>
    </row>
    <row r="202" spans="5:11" ht="10.5">
      <c r="E202" s="5"/>
      <c r="F202" s="5"/>
      <c r="G202" s="5"/>
      <c r="H202" s="5"/>
      <c r="I202" s="5"/>
      <c r="J202" s="5"/>
      <c r="K202" s="5"/>
    </row>
    <row r="203" spans="5:11" ht="10.5">
      <c r="E203" s="5"/>
      <c r="F203" s="5"/>
      <c r="G203" s="5"/>
      <c r="H203" s="5"/>
      <c r="I203" s="5"/>
      <c r="J203" s="5"/>
      <c r="K203" s="5"/>
    </row>
    <row r="204" spans="5:11" ht="10.5">
      <c r="E204" s="5"/>
      <c r="F204" s="5"/>
      <c r="G204" s="5"/>
      <c r="H204" s="5"/>
      <c r="I204" s="5"/>
      <c r="J204" s="5"/>
      <c r="K204" s="5"/>
    </row>
    <row r="205" spans="5:11" ht="10.5">
      <c r="E205" s="5"/>
      <c r="F205" s="5"/>
      <c r="G205" s="5"/>
      <c r="H205" s="5"/>
      <c r="I205" s="5"/>
      <c r="J205" s="5"/>
      <c r="K205" s="5"/>
    </row>
    <row r="206" spans="5:11" ht="10.5">
      <c r="E206" s="5"/>
      <c r="F206" s="5"/>
      <c r="G206" s="5"/>
      <c r="H206" s="5"/>
      <c r="I206" s="5"/>
      <c r="J206" s="5"/>
      <c r="K206" s="5"/>
    </row>
    <row r="207" spans="5:11" ht="10.5">
      <c r="E207" s="5"/>
      <c r="F207" s="5"/>
      <c r="G207" s="5"/>
      <c r="H207" s="5"/>
      <c r="I207" s="5"/>
      <c r="J207" s="5"/>
      <c r="K207" s="5"/>
    </row>
    <row r="208" spans="5:11" ht="10.5">
      <c r="E208" s="5"/>
      <c r="F208" s="5"/>
      <c r="G208" s="5"/>
      <c r="H208" s="5"/>
      <c r="I208" s="5"/>
      <c r="J208" s="5"/>
      <c r="K208" s="5"/>
    </row>
    <row r="209" spans="5:11" ht="10.5">
      <c r="E209" s="5"/>
      <c r="F209" s="5"/>
      <c r="G209" s="5"/>
      <c r="H209" s="5"/>
      <c r="I209" s="5"/>
      <c r="J209" s="5"/>
      <c r="K209" s="5"/>
    </row>
    <row r="210" spans="5:11" ht="10.5">
      <c r="E210" s="5"/>
      <c r="F210" s="5"/>
      <c r="G210" s="5"/>
      <c r="H210" s="5"/>
      <c r="I210" s="5"/>
      <c r="J210" s="5"/>
      <c r="K210" s="5"/>
    </row>
    <row r="211" spans="5:11" ht="10.5">
      <c r="E211" s="5"/>
      <c r="F211" s="5"/>
      <c r="G211" s="5"/>
      <c r="H211" s="5"/>
      <c r="I211" s="5"/>
      <c r="J211" s="5"/>
      <c r="K211" s="5"/>
    </row>
    <row r="212" spans="5:11" ht="10.5">
      <c r="E212" s="5"/>
      <c r="F212" s="5"/>
      <c r="G212" s="5"/>
      <c r="H212" s="5"/>
      <c r="I212" s="5"/>
      <c r="J212" s="5"/>
      <c r="K212" s="5"/>
    </row>
    <row r="213" spans="5:11" ht="10.5">
      <c r="E213" s="5"/>
      <c r="F213" s="5"/>
      <c r="G213" s="5"/>
      <c r="H213" s="5"/>
      <c r="I213" s="5"/>
      <c r="J213" s="5"/>
      <c r="K213" s="5"/>
    </row>
    <row r="214" spans="5:11" ht="10.5">
      <c r="E214" s="5"/>
      <c r="F214" s="5"/>
      <c r="G214" s="5"/>
      <c r="H214" s="5"/>
      <c r="I214" s="5"/>
      <c r="J214" s="5"/>
      <c r="K214" s="5"/>
    </row>
    <row r="215" spans="5:11" ht="10.5">
      <c r="E215" s="5"/>
      <c r="F215" s="5"/>
      <c r="G215" s="5"/>
      <c r="H215" s="5"/>
      <c r="I215" s="5"/>
      <c r="J215" s="5"/>
      <c r="K215" s="5"/>
    </row>
    <row r="216" spans="5:11" ht="10.5">
      <c r="E216" s="5"/>
      <c r="F216" s="5"/>
      <c r="G216" s="5"/>
      <c r="H216" s="5"/>
      <c r="I216" s="5"/>
      <c r="J216" s="5"/>
      <c r="K216" s="5"/>
    </row>
    <row r="217" spans="5:11" ht="10.5">
      <c r="E217" s="5"/>
      <c r="F217" s="5"/>
      <c r="G217" s="5"/>
      <c r="H217" s="5"/>
      <c r="I217" s="5"/>
      <c r="J217" s="5"/>
      <c r="K217" s="5"/>
    </row>
    <row r="218" spans="5:11" ht="10.5">
      <c r="E218" s="5"/>
      <c r="F218" s="5"/>
      <c r="G218" s="5"/>
      <c r="H218" s="5"/>
      <c r="I218" s="5"/>
      <c r="J218" s="5"/>
      <c r="K218" s="5"/>
    </row>
    <row r="219" spans="5:11" ht="10.5">
      <c r="E219" s="5"/>
      <c r="F219" s="5"/>
      <c r="G219" s="5"/>
      <c r="H219" s="5"/>
      <c r="I219" s="5"/>
      <c r="J219" s="5"/>
      <c r="K219" s="5"/>
    </row>
    <row r="220" spans="5:11" ht="10.5">
      <c r="E220" s="5"/>
      <c r="F220" s="5"/>
      <c r="G220" s="5"/>
      <c r="H220" s="5"/>
      <c r="I220" s="5"/>
      <c r="J220" s="5"/>
      <c r="K220" s="5"/>
    </row>
    <row r="221" spans="5:11" ht="10.5">
      <c r="E221" s="5"/>
      <c r="F221" s="5"/>
      <c r="G221" s="5"/>
      <c r="H221" s="5"/>
      <c r="I221" s="5"/>
      <c r="J221" s="5"/>
      <c r="K221" s="5"/>
    </row>
    <row r="222" spans="5:11" ht="10.5">
      <c r="E222" s="5"/>
      <c r="F222" s="5"/>
      <c r="G222" s="5"/>
      <c r="H222" s="5"/>
      <c r="I222" s="5"/>
      <c r="J222" s="5"/>
      <c r="K222" s="5"/>
    </row>
    <row r="223" spans="5:11" ht="10.5">
      <c r="E223" s="5"/>
      <c r="F223" s="5"/>
      <c r="G223" s="5"/>
      <c r="H223" s="5"/>
      <c r="I223" s="5"/>
      <c r="J223" s="5"/>
      <c r="K223" s="5"/>
    </row>
    <row r="224" spans="5:11" ht="10.5">
      <c r="E224" s="5"/>
      <c r="F224" s="5"/>
      <c r="G224" s="5"/>
      <c r="H224" s="5"/>
      <c r="I224" s="5"/>
      <c r="J224" s="5"/>
      <c r="K224" s="5"/>
    </row>
    <row r="225" spans="5:11" ht="10.5">
      <c r="E225" s="5"/>
      <c r="F225" s="5"/>
      <c r="G225" s="5"/>
      <c r="H225" s="5"/>
      <c r="I225" s="5"/>
      <c r="J225" s="5"/>
      <c r="K225" s="5"/>
    </row>
    <row r="226" spans="5:11" ht="10.5">
      <c r="E226" s="5"/>
      <c r="F226" s="5"/>
      <c r="G226" s="5"/>
      <c r="H226" s="5"/>
      <c r="I226" s="5"/>
      <c r="J226" s="5"/>
      <c r="K226" s="5"/>
    </row>
    <row r="227" spans="5:11" ht="10.5">
      <c r="E227" s="5"/>
      <c r="F227" s="5"/>
      <c r="G227" s="5"/>
      <c r="H227" s="5"/>
      <c r="I227" s="5"/>
      <c r="J227" s="5"/>
      <c r="K227" s="5"/>
    </row>
    <row r="228" spans="5:11" ht="10.5">
      <c r="E228" s="5"/>
      <c r="F228" s="5"/>
      <c r="G228" s="5"/>
      <c r="H228" s="5"/>
      <c r="I228" s="5"/>
      <c r="J228" s="5"/>
      <c r="K228" s="5"/>
    </row>
    <row r="229" spans="5:11" ht="10.5">
      <c r="E229" s="5"/>
      <c r="F229" s="5"/>
      <c r="G229" s="5"/>
      <c r="H229" s="5"/>
      <c r="I229" s="5"/>
      <c r="J229" s="5"/>
      <c r="K229" s="5"/>
    </row>
    <row r="230" spans="5:11" ht="10.5">
      <c r="E230" s="5"/>
      <c r="F230" s="5"/>
      <c r="G230" s="5"/>
      <c r="H230" s="5"/>
      <c r="I230" s="5"/>
      <c r="J230" s="5"/>
      <c r="K230" s="5"/>
    </row>
    <row r="231" spans="5:11" ht="10.5">
      <c r="E231" s="5"/>
      <c r="F231" s="5"/>
      <c r="G231" s="5"/>
      <c r="H231" s="5"/>
      <c r="I231" s="5"/>
      <c r="J231" s="5"/>
      <c r="K231" s="5"/>
    </row>
    <row r="232" spans="5:11" ht="10.5">
      <c r="E232" s="5"/>
      <c r="F232" s="5"/>
      <c r="G232" s="5"/>
      <c r="H232" s="5"/>
      <c r="I232" s="5"/>
      <c r="J232" s="5"/>
      <c r="K232" s="5"/>
    </row>
    <row r="233" spans="5:11" ht="10.5">
      <c r="E233" s="5"/>
      <c r="F233" s="5"/>
      <c r="G233" s="5"/>
      <c r="H233" s="5"/>
      <c r="I233" s="5"/>
      <c r="J233" s="5"/>
      <c r="K233" s="5"/>
    </row>
    <row r="234" spans="5:11" ht="10.5">
      <c r="E234" s="5"/>
      <c r="F234" s="5"/>
      <c r="G234" s="5"/>
      <c r="H234" s="5"/>
      <c r="I234" s="5"/>
      <c r="J234" s="5"/>
      <c r="K234" s="5"/>
    </row>
    <row r="235" spans="5:11" ht="10.5">
      <c r="E235" s="5"/>
      <c r="F235" s="5"/>
      <c r="G235" s="5"/>
      <c r="H235" s="5"/>
      <c r="I235" s="5"/>
      <c r="J235" s="5"/>
      <c r="K235" s="5"/>
    </row>
    <row r="236" spans="5:11" ht="10.5">
      <c r="E236" s="5"/>
      <c r="F236" s="5"/>
      <c r="G236" s="5"/>
      <c r="H236" s="5"/>
      <c r="I236" s="5"/>
      <c r="J236" s="5"/>
      <c r="K236" s="5"/>
    </row>
    <row r="237" spans="5:11" ht="10.5">
      <c r="E237" s="5"/>
      <c r="F237" s="5"/>
      <c r="G237" s="5"/>
      <c r="H237" s="5"/>
      <c r="I237" s="5"/>
      <c r="J237" s="5"/>
      <c r="K237" s="5"/>
    </row>
    <row r="238" spans="5:11" ht="10.5">
      <c r="E238" s="5"/>
      <c r="F238" s="5"/>
      <c r="G238" s="5"/>
      <c r="H238" s="5"/>
      <c r="I238" s="5"/>
      <c r="J238" s="5"/>
      <c r="K238" s="5"/>
    </row>
    <row r="239" spans="5:11" ht="10.5">
      <c r="E239" s="5"/>
      <c r="F239" s="5"/>
      <c r="G239" s="5"/>
      <c r="H239" s="5"/>
      <c r="I239" s="5"/>
      <c r="J239" s="5"/>
      <c r="K239" s="5"/>
    </row>
    <row r="240" spans="5:11" ht="10.5">
      <c r="E240" s="5"/>
      <c r="F240" s="5"/>
      <c r="G240" s="5"/>
      <c r="H240" s="5"/>
      <c r="I240" s="5"/>
      <c r="J240" s="5"/>
      <c r="K240" s="5"/>
    </row>
    <row r="241" spans="5:11" ht="10.5">
      <c r="E241" s="5"/>
      <c r="F241" s="5"/>
      <c r="G241" s="5"/>
      <c r="H241" s="5"/>
      <c r="I241" s="5"/>
      <c r="J241" s="5"/>
      <c r="K241" s="5"/>
    </row>
    <row r="242" spans="5:11" ht="10.5">
      <c r="E242" s="5"/>
      <c r="F242" s="5"/>
      <c r="G242" s="5"/>
      <c r="H242" s="5"/>
      <c r="I242" s="5"/>
      <c r="J242" s="5"/>
      <c r="K242" s="5"/>
    </row>
    <row r="243" spans="5:11" ht="10.5">
      <c r="E243" s="5"/>
      <c r="F243" s="5"/>
      <c r="G243" s="5"/>
      <c r="H243" s="5"/>
      <c r="I243" s="5"/>
      <c r="J243" s="5"/>
      <c r="K243" s="5"/>
    </row>
    <row r="244" spans="5:11" ht="10.5">
      <c r="E244" s="5"/>
      <c r="F244" s="5"/>
      <c r="G244" s="5"/>
      <c r="H244" s="5"/>
      <c r="I244" s="5"/>
      <c r="J244" s="5"/>
      <c r="K244" s="5"/>
    </row>
    <row r="245" spans="5:11" ht="10.5">
      <c r="E245" s="5"/>
      <c r="F245" s="5"/>
      <c r="G245" s="5"/>
      <c r="H245" s="5"/>
      <c r="I245" s="5"/>
      <c r="J245" s="5"/>
      <c r="K245" s="5"/>
    </row>
    <row r="246" spans="5:11" ht="10.5">
      <c r="E246" s="5"/>
      <c r="F246" s="5"/>
      <c r="G246" s="5"/>
      <c r="H246" s="5"/>
      <c r="I246" s="5"/>
      <c r="J246" s="5"/>
      <c r="K246" s="5"/>
    </row>
    <row r="247" spans="5:11" ht="10.5">
      <c r="E247" s="5"/>
      <c r="F247" s="5"/>
      <c r="G247" s="5"/>
      <c r="H247" s="5"/>
      <c r="I247" s="5"/>
      <c r="J247" s="5"/>
      <c r="K247" s="5"/>
    </row>
    <row r="248" spans="5:11" ht="10.5">
      <c r="E248" s="5"/>
      <c r="F248" s="5"/>
      <c r="G248" s="5"/>
      <c r="H248" s="5"/>
      <c r="I248" s="5"/>
      <c r="J248" s="5"/>
      <c r="K248" s="5"/>
    </row>
    <row r="249" spans="5:11" ht="10.5">
      <c r="E249" s="5"/>
      <c r="F249" s="5"/>
      <c r="G249" s="5"/>
      <c r="H249" s="5"/>
      <c r="I249" s="5"/>
      <c r="J249" s="5"/>
      <c r="K249" s="5"/>
    </row>
    <row r="250" spans="5:11" ht="10.5">
      <c r="E250" s="5"/>
      <c r="F250" s="5"/>
      <c r="G250" s="5"/>
      <c r="H250" s="5"/>
      <c r="I250" s="5"/>
      <c r="J250" s="5"/>
      <c r="K250" s="5"/>
    </row>
    <row r="251" spans="5:11" ht="10.5">
      <c r="E251" s="5"/>
      <c r="F251" s="5"/>
      <c r="G251" s="5"/>
      <c r="H251" s="5"/>
      <c r="I251" s="5"/>
      <c r="J251" s="5"/>
      <c r="K251" s="5"/>
    </row>
    <row r="252" spans="5:11" ht="10.5">
      <c r="E252" s="5"/>
      <c r="F252" s="5"/>
      <c r="G252" s="5"/>
      <c r="H252" s="5"/>
      <c r="I252" s="5"/>
      <c r="J252" s="5"/>
      <c r="K252" s="5"/>
    </row>
    <row r="253" spans="5:11" ht="10.5">
      <c r="E253" s="5"/>
      <c r="F253" s="5"/>
      <c r="G253" s="5"/>
      <c r="H253" s="5"/>
      <c r="I253" s="5"/>
      <c r="J253" s="5"/>
      <c r="K253" s="5"/>
    </row>
    <row r="254" spans="5:11" ht="10.5">
      <c r="E254" s="5"/>
      <c r="F254" s="5"/>
      <c r="G254" s="5"/>
      <c r="H254" s="5"/>
      <c r="I254" s="5"/>
      <c r="J254" s="5"/>
      <c r="K254" s="5"/>
    </row>
    <row r="255" spans="5:11" ht="10.5">
      <c r="E255" s="5"/>
      <c r="F255" s="5"/>
      <c r="G255" s="5"/>
      <c r="H255" s="5"/>
      <c r="I255" s="5"/>
      <c r="J255" s="5"/>
      <c r="K255" s="5"/>
    </row>
    <row r="256" spans="5:11" ht="10.5">
      <c r="E256" s="5"/>
      <c r="F256" s="5"/>
      <c r="G256" s="5"/>
      <c r="H256" s="5"/>
      <c r="I256" s="5"/>
      <c r="J256" s="5"/>
      <c r="K256" s="5"/>
    </row>
    <row r="257" spans="5:11" ht="10.5">
      <c r="E257" s="5"/>
      <c r="F257" s="5"/>
      <c r="G257" s="5"/>
      <c r="H257" s="5"/>
      <c r="I257" s="5"/>
      <c r="J257" s="5"/>
      <c r="K257" s="5"/>
    </row>
    <row r="258" spans="5:11" ht="10.5">
      <c r="E258" s="5"/>
      <c r="F258" s="5"/>
      <c r="G258" s="5"/>
      <c r="H258" s="5"/>
      <c r="I258" s="5"/>
      <c r="J258" s="5"/>
      <c r="K258" s="5"/>
    </row>
    <row r="259" spans="5:11" ht="10.5">
      <c r="E259" s="5"/>
      <c r="F259" s="5"/>
      <c r="G259" s="5"/>
      <c r="H259" s="5"/>
      <c r="I259" s="5"/>
      <c r="J259" s="5"/>
      <c r="K259" s="5"/>
    </row>
    <row r="260" spans="5:11" ht="10.5">
      <c r="E260" s="5"/>
      <c r="F260" s="5"/>
      <c r="G260" s="5"/>
      <c r="H260" s="5"/>
      <c r="I260" s="5"/>
      <c r="J260" s="5"/>
      <c r="K260" s="5"/>
    </row>
    <row r="261" spans="5:11" ht="10.5">
      <c r="E261" s="5"/>
      <c r="F261" s="5"/>
      <c r="G261" s="5"/>
      <c r="H261" s="5"/>
      <c r="I261" s="5"/>
      <c r="J261" s="5"/>
      <c r="K261" s="5"/>
    </row>
    <row r="262" spans="5:11" ht="10.5">
      <c r="E262" s="5"/>
      <c r="F262" s="5"/>
      <c r="G262" s="5"/>
      <c r="H262" s="5"/>
      <c r="I262" s="5"/>
      <c r="J262" s="5"/>
      <c r="K262" s="5"/>
    </row>
    <row r="263" spans="5:11" ht="10.5">
      <c r="E263" s="5"/>
      <c r="F263" s="5"/>
      <c r="G263" s="5"/>
      <c r="H263" s="5"/>
      <c r="I263" s="5"/>
      <c r="J263" s="5"/>
      <c r="K263" s="5"/>
    </row>
    <row r="264" spans="5:11" ht="10.5">
      <c r="E264" s="5"/>
      <c r="F264" s="5"/>
      <c r="G264" s="5"/>
      <c r="H264" s="5"/>
      <c r="I264" s="5"/>
      <c r="J264" s="5"/>
      <c r="K264" s="5"/>
    </row>
    <row r="265" spans="5:11" ht="10.5">
      <c r="E265" s="5"/>
      <c r="F265" s="5"/>
      <c r="G265" s="5"/>
      <c r="H265" s="5"/>
      <c r="I265" s="5"/>
      <c r="J265" s="5"/>
      <c r="K265" s="5"/>
    </row>
    <row r="266" spans="5:11" ht="10.5">
      <c r="E266" s="5"/>
      <c r="F266" s="5"/>
      <c r="G266" s="5"/>
      <c r="H266" s="5"/>
      <c r="I266" s="5"/>
      <c r="J266" s="5"/>
      <c r="K266" s="5"/>
    </row>
    <row r="267" spans="5:11" ht="10.5">
      <c r="E267" s="5"/>
      <c r="F267" s="5"/>
      <c r="G267" s="5"/>
      <c r="H267" s="5"/>
      <c r="I267" s="5"/>
      <c r="J267" s="5"/>
      <c r="K267" s="5"/>
    </row>
    <row r="268" spans="5:11" ht="10.5">
      <c r="E268" s="5"/>
      <c r="F268" s="5"/>
      <c r="G268" s="5"/>
      <c r="H268" s="5"/>
      <c r="I268" s="5"/>
      <c r="J268" s="5"/>
      <c r="K268" s="5"/>
    </row>
    <row r="269" spans="5:11" ht="10.5">
      <c r="E269" s="5"/>
      <c r="F269" s="5"/>
      <c r="G269" s="5"/>
      <c r="H269" s="5"/>
      <c r="I269" s="5"/>
      <c r="J269" s="5"/>
      <c r="K269" s="5"/>
    </row>
    <row r="270" spans="5:11" ht="10.5">
      <c r="E270" s="5"/>
      <c r="F270" s="5"/>
      <c r="G270" s="5"/>
      <c r="H270" s="5"/>
      <c r="I270" s="5"/>
      <c r="J270" s="5"/>
      <c r="K270" s="5"/>
    </row>
    <row r="271" spans="5:11" ht="10.5">
      <c r="E271" s="5"/>
      <c r="F271" s="5"/>
      <c r="G271" s="5"/>
      <c r="H271" s="5"/>
      <c r="I271" s="5"/>
      <c r="J271" s="5"/>
      <c r="K271" s="5"/>
    </row>
    <row r="272" spans="5:11" ht="10.5">
      <c r="E272" s="5"/>
      <c r="F272" s="5"/>
      <c r="G272" s="5"/>
      <c r="H272" s="5"/>
      <c r="I272" s="5"/>
      <c r="J272" s="5"/>
      <c r="K272" s="5"/>
    </row>
    <row r="273" spans="5:11" ht="10.5">
      <c r="E273" s="5"/>
      <c r="F273" s="5"/>
      <c r="G273" s="5"/>
      <c r="H273" s="5"/>
      <c r="I273" s="5"/>
      <c r="J273" s="5"/>
      <c r="K273" s="5"/>
    </row>
    <row r="274" spans="5:11" ht="10.5">
      <c r="E274" s="5"/>
      <c r="F274" s="5"/>
      <c r="G274" s="5"/>
      <c r="H274" s="5"/>
      <c r="I274" s="5"/>
      <c r="J274" s="5"/>
      <c r="K274" s="5"/>
    </row>
    <row r="275" spans="5:11" ht="10.5">
      <c r="E275" s="5"/>
      <c r="F275" s="5"/>
      <c r="G275" s="5"/>
      <c r="H275" s="5"/>
      <c r="I275" s="5"/>
      <c r="J275" s="5"/>
      <c r="K275" s="5"/>
    </row>
    <row r="276" spans="5:11" ht="10.5">
      <c r="E276" s="5"/>
      <c r="F276" s="5"/>
      <c r="G276" s="5"/>
      <c r="H276" s="5"/>
      <c r="I276" s="5"/>
      <c r="J276" s="5"/>
      <c r="K276" s="5"/>
    </row>
    <row r="277" spans="5:11" ht="10.5">
      <c r="E277" s="5"/>
      <c r="F277" s="5"/>
      <c r="G277" s="5"/>
      <c r="H277" s="5"/>
      <c r="I277" s="5"/>
      <c r="J277" s="5"/>
      <c r="K277" s="5"/>
    </row>
    <row r="278" spans="5:11" ht="10.5">
      <c r="E278" s="5"/>
      <c r="F278" s="5"/>
      <c r="G278" s="5"/>
      <c r="H278" s="5"/>
      <c r="I278" s="5"/>
      <c r="J278" s="5"/>
      <c r="K278" s="5"/>
    </row>
    <row r="279" spans="5:11" ht="10.5">
      <c r="E279" s="5"/>
      <c r="F279" s="5"/>
      <c r="G279" s="5"/>
      <c r="H279" s="5"/>
      <c r="I279" s="5"/>
      <c r="J279" s="5"/>
      <c r="K279" s="5"/>
    </row>
    <row r="280" spans="5:11" ht="10.5">
      <c r="E280" s="5"/>
      <c r="F280" s="5"/>
      <c r="G280" s="5"/>
      <c r="H280" s="5"/>
      <c r="I280" s="5"/>
      <c r="J280" s="5"/>
      <c r="K280" s="5"/>
    </row>
  </sheetData>
  <dataValidations count="4">
    <dataValidation type="whole" allowBlank="1" showInputMessage="1" showErrorMessage="1" sqref="E14">
      <formula1>1</formula1>
      <formula2>420</formula2>
    </dataValidation>
    <dataValidation type="decimal" allowBlank="1" showInputMessage="1" showErrorMessage="1" sqref="E15">
      <formula1>0</formula1>
      <formula2>0.5</formula2>
    </dataValidation>
    <dataValidation type="decimal" operator="lessThan" allowBlank="1" showInputMessage="1" showErrorMessage="1" sqref="E23">
      <formula1>0</formula1>
    </dataValidation>
    <dataValidation type="decimal" operator="lessThanOrEqual" allowBlank="1" showInputMessage="1" showErrorMessage="1" sqref="K19:K29">
      <formula1>0</formula1>
    </dataValidation>
  </dataValidations>
  <printOptions/>
  <pageMargins left="0.75" right="0.75" top="1" bottom="1" header="0.5" footer="0.5"/>
  <pageSetup fitToHeight="99" fitToWidth="1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Business Functions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JohnD311058</cp:lastModifiedBy>
  <cp:lastPrinted>2004-03-19T18:41:06Z</cp:lastPrinted>
  <dcterms:created xsi:type="dcterms:W3CDTF">2004-03-02T15:44:07Z</dcterms:created>
  <dcterms:modified xsi:type="dcterms:W3CDTF">2006-10-26T17:28:50Z</dcterms:modified>
  <cp:category/>
  <cp:version/>
  <cp:contentType/>
  <cp:contentStatus/>
</cp:coreProperties>
</file>